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UPC\FER\Nueva carpeta\"/>
    </mc:Choice>
  </mc:AlternateContent>
  <xr:revisionPtr revIDLastSave="0" documentId="13_ncr:1_{E2ACD397-5B56-4C46-AD1D-8E589B54A2FB}" xr6:coauthVersionLast="37" xr6:coauthVersionMax="45" xr10:uidLastSave="{00000000-0000-0000-0000-000000000000}"/>
  <workbookProtection workbookAlgorithmName="SHA-512" workbookHashValue="Fufzn8g0YodamMHyTxPfKChSXjOYKinHtyjBXDkCO/WFMFo1JP8DSOX71OtRRQ1Wc88h6t8ZiB2cVIynaVNJPg==" workbookSaltValue="O7sXPWZKHTy0Mp3z2KdD/Q==" workbookSpinCount="100000" lockStructure="1"/>
  <bookViews>
    <workbookView xWindow="-120" yWindow="-120" windowWidth="20736" windowHeight="11160" tabRatio="1000" xr2:uid="{00000000-000D-0000-FFFF-FFFF00000000}"/>
  </bookViews>
  <sheets>
    <sheet name="Inicio" sheetId="38" r:id="rId1"/>
    <sheet name="Ejercicio 1" sheetId="35" r:id="rId2"/>
    <sheet name="Ejercicio 2" sheetId="36" r:id="rId3"/>
    <sheet name="Ejercicio 3" sheetId="37" r:id="rId4"/>
    <sheet name="Ejercicio 4" sheetId="33" r:id="rId5"/>
    <sheet name="Ejercicio 5" sheetId="11" r:id="rId6"/>
    <sheet name="Ejercicio 6" sheetId="12" r:id="rId7"/>
    <sheet name="Ejercicio 7" sheetId="13" r:id="rId8"/>
    <sheet name="Ejercicio 8" sheetId="14" r:id="rId9"/>
    <sheet name="Ejercicio 9" sheetId="15" r:id="rId10"/>
    <sheet name="Ejercicio 10" sheetId="16" r:id="rId11"/>
    <sheet name="Ejercicio 11" sheetId="17" r:id="rId12"/>
    <sheet name="Ejercicio 12" sheetId="18" r:id="rId13"/>
    <sheet name="Ejercicio 13" sheetId="19" r:id="rId14"/>
    <sheet name="Ejercicio 14" sheetId="20" r:id="rId15"/>
    <sheet name="Ejercicio 15" sheetId="21" r:id="rId16"/>
    <sheet name="Ejercicio 16" sheetId="24" r:id="rId17"/>
    <sheet name="Ejercicio 17" sheetId="22" r:id="rId18"/>
    <sheet name="Ejercicio 18" sheetId="23" r:id="rId19"/>
    <sheet name="Ejercicio 19" sheetId="30" r:id="rId20"/>
    <sheet name="Ejercicio 20" sheetId="31" r:id="rId21"/>
    <sheet name="Ejercicio 21" sheetId="34" r:id="rId22"/>
  </sheets>
  <definedNames>
    <definedName name="_Hlk52194927" localSheetId="0">Inicio!$C$19</definedName>
    <definedName name="_xlnm.Print_Area" localSheetId="0">Inicio!$A$1:$I$53</definedName>
    <definedName name="OLE_LINK7" localSheetId="1">'Ejercicio 1'!$L$26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24" l="1"/>
  <c r="D92" i="24"/>
  <c r="D66" i="24"/>
  <c r="E52" i="21"/>
  <c r="D33" i="19"/>
  <c r="E5" i="19"/>
  <c r="D23" i="14"/>
  <c r="J17" i="11" l="1"/>
  <c r="M38" i="20" l="1"/>
  <c r="M49" i="20"/>
  <c r="M50" i="20"/>
  <c r="M53" i="20"/>
  <c r="E9" i="23"/>
  <c r="F29" i="19"/>
  <c r="F28" i="19"/>
  <c r="K5" i="19"/>
  <c r="D19" i="14"/>
  <c r="J9" i="11" l="1"/>
  <c r="E3" i="33"/>
  <c r="M3" i="33" s="1"/>
  <c r="E40" i="24" l="1"/>
  <c r="E44" i="24"/>
  <c r="E35" i="24"/>
  <c r="E45" i="24" s="1"/>
  <c r="E21" i="24"/>
  <c r="E22" i="24"/>
  <c r="E16" i="24"/>
  <c r="E23" i="24" s="1"/>
  <c r="F40" i="24"/>
  <c r="F44" i="24"/>
  <c r="F35" i="24"/>
  <c r="F45" i="24" s="1"/>
  <c r="F49" i="24" s="1"/>
  <c r="F54" i="24" s="1"/>
  <c r="F21" i="24"/>
  <c r="F22" i="24"/>
  <c r="F16" i="24"/>
  <c r="F23" i="24" s="1"/>
  <c r="G40" i="24"/>
  <c r="G44" i="24"/>
  <c r="G35" i="24"/>
  <c r="G45" i="24"/>
  <c r="G21" i="24"/>
  <c r="G22" i="24"/>
  <c r="G16" i="24"/>
  <c r="G23" i="24" s="1"/>
  <c r="H40" i="24"/>
  <c r="H44" i="24"/>
  <c r="H35" i="24"/>
  <c r="H45" i="24" s="1"/>
  <c r="H21" i="24"/>
  <c r="H22" i="24"/>
  <c r="H16" i="24"/>
  <c r="H23" i="24" s="1"/>
  <c r="I40" i="24"/>
  <c r="D48" i="24"/>
  <c r="I43" i="24" s="1"/>
  <c r="I44" i="24"/>
  <c r="I35" i="24"/>
  <c r="I36" i="24" s="1"/>
  <c r="I21" i="24"/>
  <c r="I22" i="24"/>
  <c r="I16" i="24"/>
  <c r="I23" i="24" s="1"/>
  <c r="D35" i="24"/>
  <c r="D45" i="24" s="1"/>
  <c r="D49" i="24" s="1"/>
  <c r="D54" i="24" s="1"/>
  <c r="D56" i="24" s="1"/>
  <c r="D24" i="24"/>
  <c r="D55" i="24" s="1"/>
  <c r="E22" i="21"/>
  <c r="E28" i="20"/>
  <c r="E30" i="20" s="1"/>
  <c r="E19" i="18"/>
  <c r="E31" i="18" s="1"/>
  <c r="N4" i="30"/>
  <c r="D6" i="30"/>
  <c r="D8" i="30" s="1"/>
  <c r="D37" i="23"/>
  <c r="E27" i="23" s="1"/>
  <c r="E11" i="23"/>
  <c r="E12" i="23" s="1"/>
  <c r="E36" i="24"/>
  <c r="E17" i="24"/>
  <c r="D59" i="24"/>
  <c r="D63" i="24"/>
  <c r="D89" i="24"/>
  <c r="I86" i="24" s="1"/>
  <c r="D4" i="24"/>
  <c r="H74" i="24" s="1"/>
  <c r="D3" i="24"/>
  <c r="G71" i="24" s="1"/>
  <c r="D37" i="21"/>
  <c r="D9" i="21"/>
  <c r="D10" i="21" s="1"/>
  <c r="D38" i="21" s="1"/>
  <c r="N29" i="21"/>
  <c r="N30" i="21"/>
  <c r="I32" i="21"/>
  <c r="F6" i="21"/>
  <c r="G6" i="21" s="1"/>
  <c r="I43" i="21"/>
  <c r="L21" i="21"/>
  <c r="E33" i="21"/>
  <c r="D29" i="20"/>
  <c r="D34" i="20" s="1"/>
  <c r="D35" i="20" s="1"/>
  <c r="D39" i="20" s="1"/>
  <c r="D44" i="20"/>
  <c r="D45" i="20"/>
  <c r="D46" i="20"/>
  <c r="M36" i="20"/>
  <c r="M37" i="20" s="1"/>
  <c r="M52" i="20" s="1"/>
  <c r="E31" i="20"/>
  <c r="E33" i="20"/>
  <c r="E42" i="20" s="1"/>
  <c r="F31" i="20"/>
  <c r="F33" i="20"/>
  <c r="F42" i="20" s="1"/>
  <c r="G31" i="20"/>
  <c r="G33" i="20"/>
  <c r="G42" i="20" s="1"/>
  <c r="H31" i="20"/>
  <c r="H33" i="20"/>
  <c r="H43" i="20"/>
  <c r="I43" i="20"/>
  <c r="D18" i="19"/>
  <c r="D17" i="19" s="1"/>
  <c r="D20" i="19" s="1"/>
  <c r="E4" i="19"/>
  <c r="M5" i="19"/>
  <c r="N5" i="19"/>
  <c r="O5" i="19" s="1"/>
  <c r="E6" i="19"/>
  <c r="E7" i="19"/>
  <c r="E17" i="19"/>
  <c r="F4" i="19"/>
  <c r="F6" i="19"/>
  <c r="F8" i="19"/>
  <c r="F15" i="19"/>
  <c r="F17" i="19"/>
  <c r="G4" i="19"/>
  <c r="G6" i="19"/>
  <c r="G8" i="19"/>
  <c r="G15" i="19"/>
  <c r="G17" i="19"/>
  <c r="H4" i="19"/>
  <c r="H6" i="19"/>
  <c r="H8" i="19"/>
  <c r="H15" i="19"/>
  <c r="H17" i="19"/>
  <c r="I4" i="19"/>
  <c r="I6" i="19"/>
  <c r="I8" i="19"/>
  <c r="I15" i="19"/>
  <c r="I16" i="19"/>
  <c r="F30" i="19"/>
  <c r="D39" i="18"/>
  <c r="D42" i="18" s="1"/>
  <c r="E21" i="18"/>
  <c r="E34" i="18" s="1"/>
  <c r="E22" i="18"/>
  <c r="E35" i="18" s="1"/>
  <c r="E36" i="18"/>
  <c r="E37" i="18"/>
  <c r="E25" i="18"/>
  <c r="E39" i="18"/>
  <c r="F5" i="18"/>
  <c r="F21" i="18" s="1"/>
  <c r="F36" i="18"/>
  <c r="F37" i="18"/>
  <c r="F25" i="18"/>
  <c r="F39" i="18"/>
  <c r="G36" i="18"/>
  <c r="G37" i="18"/>
  <c r="G25" i="18"/>
  <c r="G39" i="18"/>
  <c r="H36" i="18"/>
  <c r="H37" i="18"/>
  <c r="H25" i="18"/>
  <c r="H39" i="18"/>
  <c r="I36" i="18"/>
  <c r="I37" i="18"/>
  <c r="I25" i="18"/>
  <c r="I39" i="18"/>
  <c r="J32" i="18"/>
  <c r="D52" i="18"/>
  <c r="D51" i="18"/>
  <c r="D54" i="18"/>
  <c r="E47" i="17"/>
  <c r="F47" i="17"/>
  <c r="G47" i="17"/>
  <c r="H47" i="17"/>
  <c r="I47" i="17"/>
  <c r="J47" i="17"/>
  <c r="K47" i="17"/>
  <c r="L47" i="17"/>
  <c r="D47" i="17"/>
  <c r="D50" i="17" s="1"/>
  <c r="E37" i="17"/>
  <c r="L24" i="17"/>
  <c r="J42" i="16"/>
  <c r="I42" i="16"/>
  <c r="H42" i="16"/>
  <c r="G42" i="16"/>
  <c r="F42" i="16"/>
  <c r="E42" i="16"/>
  <c r="D11" i="14"/>
  <c r="D14" i="14" s="1"/>
  <c r="D3" i="14"/>
  <c r="E8" i="14"/>
  <c r="E11" i="14"/>
  <c r="F8" i="14"/>
  <c r="F14" i="14" s="1"/>
  <c r="F11" i="14"/>
  <c r="G8" i="14"/>
  <c r="G11" i="14"/>
  <c r="G14" i="14" s="1"/>
  <c r="H8" i="14"/>
  <c r="H10" i="14"/>
  <c r="H11" i="14"/>
  <c r="F10" i="11"/>
  <c r="E9" i="11"/>
  <c r="E11" i="11" s="1"/>
  <c r="E14" i="11" s="1"/>
  <c r="E18" i="33"/>
  <c r="E22" i="33" s="1"/>
  <c r="E11" i="33"/>
  <c r="E6" i="33"/>
  <c r="E7" i="33"/>
  <c r="E8" i="33"/>
  <c r="E13" i="33"/>
  <c r="F77" i="24"/>
  <c r="G77" i="24"/>
  <c r="H77" i="24"/>
  <c r="I77" i="24"/>
  <c r="E77" i="24"/>
  <c r="I85" i="24"/>
  <c r="F76" i="24"/>
  <c r="G76" i="24"/>
  <c r="H76" i="24"/>
  <c r="I76" i="24"/>
  <c r="E76" i="24"/>
  <c r="O33" i="21"/>
  <c r="F33" i="21"/>
  <c r="G33" i="21"/>
  <c r="H33" i="21"/>
  <c r="F37" i="17"/>
  <c r="F44" i="17" s="1"/>
  <c r="G37" i="17"/>
  <c r="G44" i="17" s="1"/>
  <c r="H37" i="17"/>
  <c r="H44" i="17" s="1"/>
  <c r="I37" i="17"/>
  <c r="I44" i="17" s="1"/>
  <c r="J37" i="17"/>
  <c r="J44" i="17" s="1"/>
  <c r="K37" i="17"/>
  <c r="K44" i="17" s="1"/>
  <c r="L37" i="17"/>
  <c r="L44" i="17" s="1"/>
  <c r="F13" i="17"/>
  <c r="G13" i="17"/>
  <c r="H13" i="17"/>
  <c r="I13" i="17"/>
  <c r="J13" i="17"/>
  <c r="K13" i="17"/>
  <c r="L13" i="17"/>
  <c r="E13" i="17"/>
  <c r="F12" i="17"/>
  <c r="G12" i="17" s="1"/>
  <c r="F9" i="17"/>
  <c r="G9" i="17" s="1"/>
  <c r="F16" i="15"/>
  <c r="F19" i="15" s="1"/>
  <c r="F20" i="15" s="1"/>
  <c r="D8" i="13"/>
  <c r="D11" i="13" s="1"/>
  <c r="H4" i="12"/>
  <c r="F4" i="12"/>
  <c r="G4" i="12" s="1"/>
  <c r="D36" i="22"/>
  <c r="E11" i="17"/>
  <c r="E21" i="17" s="1"/>
  <c r="E23" i="33"/>
  <c r="I4" i="34"/>
  <c r="I9" i="34" s="1"/>
  <c r="H4" i="34"/>
  <c r="H9" i="34"/>
  <c r="G4" i="34"/>
  <c r="G9" i="34" s="1"/>
  <c r="F4" i="34"/>
  <c r="F9" i="34"/>
  <c r="E4" i="34"/>
  <c r="E9" i="34" s="1"/>
  <c r="D4" i="34"/>
  <c r="D9" i="34"/>
  <c r="D11" i="34" s="1"/>
  <c r="D47" i="23"/>
  <c r="D48" i="23" s="1"/>
  <c r="J29" i="23"/>
  <c r="J30" i="23" s="1"/>
  <c r="K29" i="23"/>
  <c r="K30" i="23" s="1"/>
  <c r="L29" i="23"/>
  <c r="L35" i="23" s="1"/>
  <c r="M29" i="23"/>
  <c r="M35" i="23" s="1"/>
  <c r="N29" i="23"/>
  <c r="N30" i="23" s="1"/>
  <c r="D29" i="23"/>
  <c r="D30" i="23" s="1"/>
  <c r="D11" i="23"/>
  <c r="D12" i="23" s="1"/>
  <c r="E5" i="22"/>
  <c r="E42" i="22" s="1"/>
  <c r="E43" i="22" s="1"/>
  <c r="E48" i="22" s="1"/>
  <c r="D5" i="22"/>
  <c r="G30" i="22" s="1"/>
  <c r="F6" i="22"/>
  <c r="F4" i="22"/>
  <c r="H12" i="22" s="1"/>
  <c r="G42" i="22"/>
  <c r="I42" i="22"/>
  <c r="F42" i="22"/>
  <c r="F30" i="22"/>
  <c r="F31" i="22" s="1"/>
  <c r="F35" i="22" s="1"/>
  <c r="F36" i="22" s="1"/>
  <c r="I30" i="22"/>
  <c r="I12" i="22"/>
  <c r="F11" i="31"/>
  <c r="F12" i="31" s="1"/>
  <c r="G11" i="31"/>
  <c r="G12" i="31" s="1"/>
  <c r="H11" i="31"/>
  <c r="H12" i="31" s="1"/>
  <c r="I11" i="31"/>
  <c r="I12" i="31" s="1"/>
  <c r="E11" i="31"/>
  <c r="E12" i="31" s="1"/>
  <c r="E33" i="17"/>
  <c r="E35" i="17" s="1"/>
  <c r="E43" i="17" s="1"/>
  <c r="F36" i="17"/>
  <c r="G36" i="17" s="1"/>
  <c r="H36" i="17" s="1"/>
  <c r="I36" i="17" s="1"/>
  <c r="J36" i="17" s="1"/>
  <c r="K36" i="17" s="1"/>
  <c r="L36" i="17" s="1"/>
  <c r="M46" i="17"/>
  <c r="C18" i="17"/>
  <c r="C21" i="17"/>
  <c r="C23" i="17"/>
  <c r="I23" i="16"/>
  <c r="H23" i="16"/>
  <c r="G23" i="16"/>
  <c r="F23" i="16"/>
  <c r="E23" i="16"/>
  <c r="E26" i="16" s="1"/>
  <c r="I47" i="22"/>
  <c r="H47" i="22"/>
  <c r="G47" i="22"/>
  <c r="F47" i="22"/>
  <c r="E47" i="22"/>
  <c r="D43" i="22"/>
  <c r="D44" i="22" s="1"/>
  <c r="F43" i="22"/>
  <c r="I31" i="22"/>
  <c r="I35" i="22" s="1"/>
  <c r="I36" i="22" s="1"/>
  <c r="D15" i="22"/>
  <c r="D16" i="22" s="1"/>
  <c r="D19" i="22" s="1"/>
  <c r="D23" i="22" s="1"/>
  <c r="F48" i="22"/>
  <c r="F51" i="22" s="1"/>
  <c r="I32" i="22"/>
  <c r="D5" i="31"/>
  <c r="G17" i="24"/>
  <c r="F17" i="24"/>
  <c r="D78" i="24"/>
  <c r="D84" i="24" s="1"/>
  <c r="E75" i="24"/>
  <c r="F74" i="24"/>
  <c r="F71" i="24"/>
  <c r="N51" i="23"/>
  <c r="M51" i="23"/>
  <c r="L51" i="23"/>
  <c r="K51" i="23"/>
  <c r="J51" i="23"/>
  <c r="I51" i="23"/>
  <c r="H51" i="23"/>
  <c r="G51" i="23"/>
  <c r="F51" i="23"/>
  <c r="E51" i="23"/>
  <c r="N45" i="23"/>
  <c r="N47" i="23" s="1"/>
  <c r="N48" i="23" s="1"/>
  <c r="M45" i="23"/>
  <c r="L45" i="23"/>
  <c r="K45" i="23"/>
  <c r="K47" i="23" s="1"/>
  <c r="K52" i="23" s="1"/>
  <c r="K55" i="23" s="1"/>
  <c r="J45" i="23"/>
  <c r="J47" i="23" s="1"/>
  <c r="I45" i="23"/>
  <c r="I47" i="23" s="1"/>
  <c r="H45" i="23"/>
  <c r="H47" i="23" s="1"/>
  <c r="G45" i="23"/>
  <c r="G47" i="23" s="1"/>
  <c r="G52" i="23" s="1"/>
  <c r="F45" i="23"/>
  <c r="E45" i="23"/>
  <c r="E47" i="23" s="1"/>
  <c r="E52" i="23" s="1"/>
  <c r="D36" i="23"/>
  <c r="N33" i="23"/>
  <c r="M33" i="23"/>
  <c r="L33" i="23"/>
  <c r="K33" i="23"/>
  <c r="J33" i="23"/>
  <c r="I33" i="23"/>
  <c r="H33" i="23"/>
  <c r="G33" i="23"/>
  <c r="F33" i="23"/>
  <c r="E33" i="23"/>
  <c r="D18" i="23"/>
  <c r="D16" i="23"/>
  <c r="E15" i="23"/>
  <c r="I9" i="23"/>
  <c r="H9" i="23"/>
  <c r="G9" i="23"/>
  <c r="F9" i="23"/>
  <c r="F8" i="23"/>
  <c r="F15" i="23" s="1"/>
  <c r="H36" i="21"/>
  <c r="D14" i="21"/>
  <c r="H22" i="21"/>
  <c r="G22" i="21"/>
  <c r="F22" i="21"/>
  <c r="I27" i="23"/>
  <c r="F47" i="23"/>
  <c r="F52" i="23" s="1"/>
  <c r="M47" i="23"/>
  <c r="M52" i="23" s="1"/>
  <c r="L47" i="23"/>
  <c r="L52" i="23" s="1"/>
  <c r="G36" i="24"/>
  <c r="D36" i="24"/>
  <c r="E22" i="17"/>
  <c r="E18" i="17"/>
  <c r="D26" i="17" s="1"/>
  <c r="F22" i="17"/>
  <c r="I35" i="16"/>
  <c r="H35" i="16"/>
  <c r="G35" i="16"/>
  <c r="F35" i="16"/>
  <c r="H13" i="16"/>
  <c r="G13" i="16"/>
  <c r="F13" i="16"/>
  <c r="J12" i="16"/>
  <c r="J11" i="16" s="1"/>
  <c r="I12" i="16"/>
  <c r="I11" i="16" s="1"/>
  <c r="I32" i="16" s="1"/>
  <c r="H12" i="16"/>
  <c r="G12" i="16"/>
  <c r="F12" i="16"/>
  <c r="J4" i="16"/>
  <c r="J7" i="16" s="1"/>
  <c r="I4" i="16"/>
  <c r="I6" i="16" s="1"/>
  <c r="H4" i="16"/>
  <c r="H7" i="16" s="1"/>
  <c r="G4" i="16"/>
  <c r="G8" i="16" s="1"/>
  <c r="F4" i="16"/>
  <c r="F33" i="17"/>
  <c r="F35" i="17" s="1"/>
  <c r="F11" i="17"/>
  <c r="F21" i="17" s="1"/>
  <c r="E27" i="15"/>
  <c r="E30" i="15" s="1"/>
  <c r="O27" i="15"/>
  <c r="N27" i="15"/>
  <c r="M27" i="15"/>
  <c r="L27" i="15"/>
  <c r="K27" i="15"/>
  <c r="J27" i="15"/>
  <c r="I27" i="15"/>
  <c r="H27" i="15"/>
  <c r="G27" i="15"/>
  <c r="F27" i="15"/>
  <c r="P26" i="15"/>
  <c r="P30" i="15" s="1"/>
  <c r="O25" i="15"/>
  <c r="N25" i="15"/>
  <c r="M25" i="15"/>
  <c r="L25" i="15"/>
  <c r="K25" i="15"/>
  <c r="J25" i="15"/>
  <c r="I25" i="15"/>
  <c r="H25" i="15"/>
  <c r="G25" i="15"/>
  <c r="F25" i="15"/>
  <c r="O16" i="15"/>
  <c r="O19" i="15" s="1"/>
  <c r="O20" i="15" s="1"/>
  <c r="O21" i="15" s="1"/>
  <c r="O24" i="15" s="1"/>
  <c r="N16" i="15"/>
  <c r="N19" i="15" s="1"/>
  <c r="N20" i="15" s="1"/>
  <c r="N21" i="15" s="1"/>
  <c r="N24" i="15" s="1"/>
  <c r="M16" i="15"/>
  <c r="M19" i="15" s="1"/>
  <c r="L16" i="15"/>
  <c r="L19" i="15" s="1"/>
  <c r="K16" i="15"/>
  <c r="K19" i="15" s="1"/>
  <c r="K20" i="15" s="1"/>
  <c r="K21" i="15" s="1"/>
  <c r="K24" i="15" s="1"/>
  <c r="J16" i="15"/>
  <c r="J19" i="15" s="1"/>
  <c r="I16" i="15"/>
  <c r="I19" i="15" s="1"/>
  <c r="I20" i="15" s="1"/>
  <c r="H16" i="15"/>
  <c r="H19" i="15"/>
  <c r="H20" i="15" s="1"/>
  <c r="G16" i="15"/>
  <c r="G19" i="15"/>
  <c r="G20" i="15" s="1"/>
  <c r="H8" i="13"/>
  <c r="G8" i="13"/>
  <c r="H11" i="13" s="1"/>
  <c r="F8" i="13"/>
  <c r="E8" i="13"/>
  <c r="E11" i="13" s="1"/>
  <c r="H7" i="12"/>
  <c r="D15" i="12" s="1"/>
  <c r="F7" i="12"/>
  <c r="G7" i="12" s="1"/>
  <c r="H6" i="12"/>
  <c r="F6" i="12"/>
  <c r="G6" i="12" s="1"/>
  <c r="H5" i="12"/>
  <c r="F5" i="12"/>
  <c r="G5" i="12" s="1"/>
  <c r="G4" i="11"/>
  <c r="G10" i="11" s="1"/>
  <c r="D6" i="34"/>
  <c r="E6" i="34"/>
  <c r="F6" i="34" s="1"/>
  <c r="G6" i="34" s="1"/>
  <c r="H6" i="34" s="1"/>
  <c r="I6" i="34" s="1"/>
  <c r="I52" i="21" l="1"/>
  <c r="F52" i="21"/>
  <c r="G52" i="21"/>
  <c r="H52" i="21"/>
  <c r="G5" i="19"/>
  <c r="F5" i="19"/>
  <c r="H5" i="19"/>
  <c r="I5" i="19"/>
  <c r="I9" i="19" s="1"/>
  <c r="L9" i="19"/>
  <c r="F19" i="18"/>
  <c r="F31" i="18" s="1"/>
  <c r="G7" i="19"/>
  <c r="G9" i="19" s="1"/>
  <c r="F24" i="24"/>
  <c r="F55" i="24" s="1"/>
  <c r="E24" i="24"/>
  <c r="F11" i="13"/>
  <c r="L48" i="23"/>
  <c r="G11" i="13"/>
  <c r="E37" i="16"/>
  <c r="G5" i="18"/>
  <c r="G19" i="18" s="1"/>
  <c r="I7" i="19"/>
  <c r="I10" i="19" s="1"/>
  <c r="I14" i="19" s="1"/>
  <c r="I20" i="19" s="1"/>
  <c r="I25" i="19" s="1"/>
  <c r="H7" i="19"/>
  <c r="H9" i="19" s="1"/>
  <c r="F7" i="19"/>
  <c r="F9" i="19" s="1"/>
  <c r="E8" i="19"/>
  <c r="E15" i="19" s="1"/>
  <c r="K30" i="15"/>
  <c r="M55" i="23"/>
  <c r="G43" i="22"/>
  <c r="G48" i="22" s="1"/>
  <c r="F5" i="22"/>
  <c r="H30" i="22"/>
  <c r="H31" i="22" s="1"/>
  <c r="H35" i="22" s="1"/>
  <c r="H36" i="22" s="1"/>
  <c r="H42" i="22"/>
  <c r="H43" i="22" s="1"/>
  <c r="H48" i="22" s="1"/>
  <c r="H51" i="22" s="1"/>
  <c r="D17" i="23"/>
  <c r="D20" i="23" s="1"/>
  <c r="E14" i="14"/>
  <c r="F18" i="17"/>
  <c r="E12" i="22"/>
  <c r="E30" i="22"/>
  <c r="E31" i="22" s="1"/>
  <c r="E32" i="22" s="1"/>
  <c r="D35" i="23"/>
  <c r="D38" i="23" s="1"/>
  <c r="H14" i="14"/>
  <c r="J33" i="18"/>
  <c r="J42" i="18" s="1"/>
  <c r="J47" i="18" s="1"/>
  <c r="F22" i="18"/>
  <c r="F35" i="18" s="1"/>
  <c r="J20" i="18"/>
  <c r="J26" i="18" s="1"/>
  <c r="J38" i="18" s="1"/>
  <c r="F56" i="24"/>
  <c r="D14" i="31"/>
  <c r="D45" i="18"/>
  <c r="J27" i="18"/>
  <c r="G49" i="24"/>
  <c r="G54" i="24" s="1"/>
  <c r="G56" i="24" s="1"/>
  <c r="E49" i="24"/>
  <c r="E54" i="24" s="1"/>
  <c r="E56" i="24" s="1"/>
  <c r="F78" i="24"/>
  <c r="F84" i="24" s="1"/>
  <c r="I24" i="24"/>
  <c r="I55" i="24" s="1"/>
  <c r="E74" i="24"/>
  <c r="I45" i="24"/>
  <c r="E55" i="24"/>
  <c r="I74" i="24"/>
  <c r="I17" i="24"/>
  <c r="D90" i="24"/>
  <c r="D64" i="24"/>
  <c r="H24" i="24"/>
  <c r="H55" i="24" s="1"/>
  <c r="H49" i="24"/>
  <c r="H54" i="24" s="1"/>
  <c r="I49" i="24"/>
  <c r="I54" i="24" s="1"/>
  <c r="I56" i="24" s="1"/>
  <c r="G24" i="24"/>
  <c r="G55" i="24" s="1"/>
  <c r="H71" i="24"/>
  <c r="H36" i="24"/>
  <c r="I71" i="24"/>
  <c r="D79" i="24"/>
  <c r="G74" i="24"/>
  <c r="G83" i="24" s="1"/>
  <c r="F36" i="24"/>
  <c r="H17" i="24"/>
  <c r="E71" i="24"/>
  <c r="F83" i="24"/>
  <c r="D36" i="21"/>
  <c r="D39" i="21" s="1"/>
  <c r="F9" i="21"/>
  <c r="H6" i="21"/>
  <c r="G9" i="21" s="1"/>
  <c r="E9" i="21"/>
  <c r="E10" i="21" s="1"/>
  <c r="E38" i="21" s="1"/>
  <c r="E36" i="21" s="1"/>
  <c r="D13" i="21"/>
  <c r="D11" i="21" s="1"/>
  <c r="L23" i="21" s="1"/>
  <c r="P26" i="21" s="1"/>
  <c r="I29" i="20"/>
  <c r="I34" i="20" s="1"/>
  <c r="I35" i="20" s="1"/>
  <c r="I39" i="20" s="1"/>
  <c r="I40" i="20"/>
  <c r="H42" i="20"/>
  <c r="D47" i="20"/>
  <c r="D43" i="20" s="1"/>
  <c r="D48" i="20" s="1"/>
  <c r="M51" i="20"/>
  <c r="M54" i="20" s="1"/>
  <c r="E32" i="20"/>
  <c r="E34" i="20" s="1"/>
  <c r="E35" i="20" s="1"/>
  <c r="E39" i="20" s="1"/>
  <c r="F28" i="20"/>
  <c r="M10" i="17"/>
  <c r="M14" i="17" s="1"/>
  <c r="M23" i="17" s="1"/>
  <c r="E26" i="17"/>
  <c r="E24" i="17" s="1"/>
  <c r="M45" i="17"/>
  <c r="G31" i="18"/>
  <c r="F34" i="18"/>
  <c r="H5" i="18"/>
  <c r="G22" i="18"/>
  <c r="G35" i="18" s="1"/>
  <c r="E26" i="18"/>
  <c r="G21" i="18"/>
  <c r="G34" i="18" s="1"/>
  <c r="F26" i="18"/>
  <c r="F38" i="18" s="1"/>
  <c r="D55" i="18"/>
  <c r="F14" i="17"/>
  <c r="F15" i="17" s="1"/>
  <c r="G18" i="17"/>
  <c r="G11" i="17"/>
  <c r="G21" i="17" s="1"/>
  <c r="F26" i="17"/>
  <c r="F24" i="17" s="1"/>
  <c r="H9" i="17"/>
  <c r="G33" i="17"/>
  <c r="H12" i="17"/>
  <c r="G22" i="17"/>
  <c r="E38" i="17"/>
  <c r="E39" i="17" s="1"/>
  <c r="E14" i="17"/>
  <c r="E23" i="17" s="1"/>
  <c r="E27" i="17" s="1"/>
  <c r="F43" i="17"/>
  <c r="F50" i="17" s="1"/>
  <c r="F38" i="17"/>
  <c r="F39" i="17" s="1"/>
  <c r="M34" i="17"/>
  <c r="E44" i="17"/>
  <c r="E50" i="17" s="1"/>
  <c r="D24" i="17"/>
  <c r="D27" i="17" s="1"/>
  <c r="H11" i="16"/>
  <c r="H21" i="16" s="1"/>
  <c r="H8" i="16"/>
  <c r="H6" i="16"/>
  <c r="H17" i="16" s="1"/>
  <c r="H20" i="16" s="1"/>
  <c r="F11" i="16"/>
  <c r="F21" i="16" s="1"/>
  <c r="H21" i="15"/>
  <c r="H24" i="15" s="1"/>
  <c r="H30" i="15" s="1"/>
  <c r="N30" i="15"/>
  <c r="O30" i="15"/>
  <c r="M20" i="15"/>
  <c r="M21" i="15" s="1"/>
  <c r="M24" i="15" s="1"/>
  <c r="M30" i="15" s="1"/>
  <c r="I21" i="15"/>
  <c r="I24" i="15" s="1"/>
  <c r="I30" i="15" s="1"/>
  <c r="L20" i="15"/>
  <c r="L21" i="15" s="1"/>
  <c r="L24" i="15" s="1"/>
  <c r="L30" i="15" s="1"/>
  <c r="J20" i="15"/>
  <c r="J21" i="15" s="1"/>
  <c r="J24" i="15" s="1"/>
  <c r="J30" i="15" s="1"/>
  <c r="G21" i="15"/>
  <c r="G24" i="15" s="1"/>
  <c r="G30" i="15" s="1"/>
  <c r="F21" i="15"/>
  <c r="F24" i="15" s="1"/>
  <c r="F30" i="15" s="1"/>
  <c r="D24" i="14"/>
  <c r="G8" i="12"/>
  <c r="G9" i="12" s="1"/>
  <c r="D12" i="12" s="1"/>
  <c r="D14" i="12"/>
  <c r="H8" i="12"/>
  <c r="H9" i="12" s="1"/>
  <c r="D13" i="12" s="1"/>
  <c r="H4" i="11"/>
  <c r="E17" i="11"/>
  <c r="F9" i="11"/>
  <c r="F11" i="11" s="1"/>
  <c r="E9" i="33"/>
  <c r="E12" i="33" s="1"/>
  <c r="E14" i="33" s="1"/>
  <c r="E24" i="33"/>
  <c r="E25" i="33" s="1"/>
  <c r="F27" i="23"/>
  <c r="F29" i="23" s="1"/>
  <c r="F35" i="23" s="1"/>
  <c r="F38" i="23" s="1"/>
  <c r="F48" i="23"/>
  <c r="L55" i="23"/>
  <c r="M48" i="23"/>
  <c r="G27" i="23"/>
  <c r="G29" i="23" s="1"/>
  <c r="G35" i="23" s="1"/>
  <c r="G38" i="23" s="1"/>
  <c r="D52" i="23"/>
  <c r="D55" i="23" s="1"/>
  <c r="F11" i="23"/>
  <c r="F17" i="23" s="1"/>
  <c r="F20" i="23" s="1"/>
  <c r="J48" i="23"/>
  <c r="J52" i="23"/>
  <c r="J55" i="23" s="1"/>
  <c r="F55" i="23"/>
  <c r="J35" i="23"/>
  <c r="J38" i="23" s="1"/>
  <c r="L38" i="23"/>
  <c r="N35" i="23"/>
  <c r="N38" i="23" s="1"/>
  <c r="K48" i="23"/>
  <c r="E55" i="23"/>
  <c r="H48" i="23"/>
  <c r="H52" i="23"/>
  <c r="H55" i="23" s="1"/>
  <c r="I52" i="23"/>
  <c r="I55" i="23" s="1"/>
  <c r="I48" i="23"/>
  <c r="G55" i="23"/>
  <c r="M38" i="23"/>
  <c r="E29" i="23"/>
  <c r="E35" i="23" s="1"/>
  <c r="E38" i="23" s="1"/>
  <c r="G48" i="23"/>
  <c r="G8" i="23"/>
  <c r="H27" i="23"/>
  <c r="L30" i="23"/>
  <c r="E17" i="23"/>
  <c r="E20" i="23" s="1"/>
  <c r="E48" i="23"/>
  <c r="N52" i="23"/>
  <c r="N55" i="23" s="1"/>
  <c r="M30" i="23"/>
  <c r="G30" i="23"/>
  <c r="I29" i="23"/>
  <c r="I35" i="23" s="1"/>
  <c r="I38" i="23" s="1"/>
  <c r="K35" i="23"/>
  <c r="K38" i="23" s="1"/>
  <c r="H44" i="22"/>
  <c r="H32" i="22"/>
  <c r="F44" i="22"/>
  <c r="H53" i="22"/>
  <c r="G51" i="22"/>
  <c r="G31" i="22"/>
  <c r="G35" i="22" s="1"/>
  <c r="G36" i="22" s="1"/>
  <c r="E51" i="22"/>
  <c r="F53" i="22"/>
  <c r="E35" i="22"/>
  <c r="E36" i="22" s="1"/>
  <c r="D48" i="22"/>
  <c r="D51" i="22" s="1"/>
  <c r="D53" i="22" s="1"/>
  <c r="F32" i="22"/>
  <c r="E44" i="22"/>
  <c r="I14" i="22"/>
  <c r="G14" i="22"/>
  <c r="G20" i="22" s="1"/>
  <c r="F12" i="22"/>
  <c r="I43" i="22"/>
  <c r="I48" i="22" s="1"/>
  <c r="I51" i="22" s="1"/>
  <c r="I53" i="22" s="1"/>
  <c r="G12" i="22"/>
  <c r="G7" i="16"/>
  <c r="G6" i="16"/>
  <c r="G14" i="16" s="1"/>
  <c r="G15" i="16" s="1"/>
  <c r="G31" i="16" s="1"/>
  <c r="H32" i="16"/>
  <c r="J32" i="16"/>
  <c r="J21" i="16"/>
  <c r="I8" i="16"/>
  <c r="I7" i="16"/>
  <c r="I14" i="16" s="1"/>
  <c r="I15" i="16" s="1"/>
  <c r="I31" i="16" s="1"/>
  <c r="I38" i="16" s="1"/>
  <c r="I43" i="16" s="1"/>
  <c r="G11" i="16"/>
  <c r="G21" i="16" s="1"/>
  <c r="F7" i="16"/>
  <c r="E35" i="16"/>
  <c r="E38" i="16" s="1"/>
  <c r="J33" i="16"/>
  <c r="F6" i="16"/>
  <c r="F17" i="16" s="1"/>
  <c r="I21" i="16"/>
  <c r="F8" i="16"/>
  <c r="J8" i="16"/>
  <c r="J6" i="16"/>
  <c r="N26" i="21" l="1"/>
  <c r="F10" i="19"/>
  <c r="F14" i="19" s="1"/>
  <c r="F20" i="19" s="1"/>
  <c r="G10" i="21"/>
  <c r="G38" i="21" s="1"/>
  <c r="G36" i="21" s="1"/>
  <c r="M12" i="19"/>
  <c r="N12" i="19"/>
  <c r="M11" i="19"/>
  <c r="E22" i="19" s="1"/>
  <c r="D23" i="19"/>
  <c r="D24" i="19" s="1"/>
  <c r="D25" i="19" s="1"/>
  <c r="O12" i="19"/>
  <c r="H10" i="19"/>
  <c r="H14" i="19" s="1"/>
  <c r="H20" i="19" s="1"/>
  <c r="H25" i="19" s="1"/>
  <c r="E9" i="19"/>
  <c r="F23" i="17"/>
  <c r="G44" i="22"/>
  <c r="G10" i="19"/>
  <c r="G14" i="19" s="1"/>
  <c r="G20" i="19" s="1"/>
  <c r="F30" i="23"/>
  <c r="O26" i="21"/>
  <c r="G40" i="21" s="1"/>
  <c r="E14" i="22"/>
  <c r="H14" i="22"/>
  <c r="F14" i="22"/>
  <c r="F20" i="22" s="1"/>
  <c r="E10" i="19"/>
  <c r="E14" i="19" s="1"/>
  <c r="E20" i="19" s="1"/>
  <c r="G26" i="18"/>
  <c r="G38" i="18" s="1"/>
  <c r="G42" i="18" s="1"/>
  <c r="D12" i="18"/>
  <c r="D46" i="18"/>
  <c r="D47" i="18" s="1"/>
  <c r="F42" i="18"/>
  <c r="F79" i="24"/>
  <c r="F90" i="24"/>
  <c r="E78" i="24"/>
  <c r="E84" i="24" s="1"/>
  <c r="E83" i="24"/>
  <c r="E90" i="24" s="1"/>
  <c r="E79" i="24"/>
  <c r="H78" i="24"/>
  <c r="H84" i="24" s="1"/>
  <c r="H83" i="24"/>
  <c r="H90" i="24" s="1"/>
  <c r="H56" i="24"/>
  <c r="G78" i="24"/>
  <c r="G84" i="24" s="1"/>
  <c r="G90" i="24" s="1"/>
  <c r="I78" i="24"/>
  <c r="I84" i="24" s="1"/>
  <c r="I79" i="24"/>
  <c r="I83" i="24"/>
  <c r="I90" i="24" s="1"/>
  <c r="F40" i="21"/>
  <c r="H40" i="21"/>
  <c r="F10" i="21"/>
  <c r="F38" i="21" s="1"/>
  <c r="M25" i="21"/>
  <c r="M26" i="21"/>
  <c r="D42" i="21"/>
  <c r="D55" i="21"/>
  <c r="D56" i="21" s="1"/>
  <c r="M41" i="20"/>
  <c r="P44" i="20" s="1"/>
  <c r="F32" i="20"/>
  <c r="E47" i="20"/>
  <c r="E43" i="20" s="1"/>
  <c r="E48" i="20" s="1"/>
  <c r="F30" i="20"/>
  <c r="G28" i="20"/>
  <c r="M15" i="17"/>
  <c r="E38" i="18"/>
  <c r="E42" i="18" s="1"/>
  <c r="E27" i="18"/>
  <c r="H22" i="18"/>
  <c r="H35" i="18" s="1"/>
  <c r="I5" i="18"/>
  <c r="H19" i="18"/>
  <c r="H21" i="18"/>
  <c r="H34" i="18" s="1"/>
  <c r="F27" i="18"/>
  <c r="F27" i="17"/>
  <c r="M43" i="17"/>
  <c r="M50" i="17" s="1"/>
  <c r="M38" i="17"/>
  <c r="M39" i="17" s="1"/>
  <c r="G14" i="17"/>
  <c r="G23" i="17" s="1"/>
  <c r="H33" i="17"/>
  <c r="H18" i="17"/>
  <c r="I9" i="17"/>
  <c r="G26" i="17"/>
  <c r="G24" i="17" s="1"/>
  <c r="H11" i="17"/>
  <c r="H21" i="17" s="1"/>
  <c r="I12" i="17"/>
  <c r="H22" i="17"/>
  <c r="E15" i="17"/>
  <c r="G35" i="17"/>
  <c r="G43" i="17"/>
  <c r="G50" i="17" s="1"/>
  <c r="H26" i="16"/>
  <c r="H14" i="16"/>
  <c r="H15" i="16" s="1"/>
  <c r="H31" i="16" s="1"/>
  <c r="G32" i="16"/>
  <c r="G38" i="16" s="1"/>
  <c r="F32" i="16"/>
  <c r="G17" i="16"/>
  <c r="G20" i="16" s="1"/>
  <c r="G26" i="16" s="1"/>
  <c r="D25" i="14"/>
  <c r="E24" i="14" s="1"/>
  <c r="E25" i="14" s="1"/>
  <c r="D27" i="14" s="1"/>
  <c r="D29" i="14" s="1"/>
  <c r="D16" i="12"/>
  <c r="F17" i="11"/>
  <c r="F14" i="11"/>
  <c r="H10" i="11"/>
  <c r="G9" i="11"/>
  <c r="G11" i="11" s="1"/>
  <c r="I4" i="11"/>
  <c r="H9" i="11" s="1"/>
  <c r="D40" i="23"/>
  <c r="D57" i="23"/>
  <c r="F12" i="23"/>
  <c r="G15" i="23"/>
  <c r="G11" i="23"/>
  <c r="G17" i="23" s="1"/>
  <c r="H8" i="23"/>
  <c r="H29" i="23"/>
  <c r="H35" i="23" s="1"/>
  <c r="H38" i="23" s="1"/>
  <c r="I30" i="23"/>
  <c r="E30" i="23"/>
  <c r="G53" i="22"/>
  <c r="E53" i="22"/>
  <c r="G32" i="22"/>
  <c r="G15" i="22"/>
  <c r="G16" i="22" s="1"/>
  <c r="G19" i="22" s="1"/>
  <c r="G23" i="22" s="1"/>
  <c r="I15" i="22"/>
  <c r="I16" i="22" s="1"/>
  <c r="I19" i="22" s="1"/>
  <c r="I20" i="22"/>
  <c r="F15" i="22"/>
  <c r="F16" i="22" s="1"/>
  <c r="F19" i="22" s="1"/>
  <c r="F23" i="22" s="1"/>
  <c r="I44" i="22"/>
  <c r="H38" i="16"/>
  <c r="H43" i="16" s="1"/>
  <c r="J17" i="16"/>
  <c r="J20" i="16" s="1"/>
  <c r="J26" i="16" s="1"/>
  <c r="J14" i="16"/>
  <c r="J15" i="16" s="1"/>
  <c r="J31" i="16" s="1"/>
  <c r="J38" i="16" s="1"/>
  <c r="J43" i="16" s="1"/>
  <c r="F14" i="16"/>
  <c r="F15" i="16" s="1"/>
  <c r="F31" i="16" s="1"/>
  <c r="I17" i="16"/>
  <c r="I20" i="16" s="1"/>
  <c r="I26" i="16" s="1"/>
  <c r="F20" i="16"/>
  <c r="F26" i="16" s="1"/>
  <c r="E43" i="16"/>
  <c r="E44" i="16" s="1"/>
  <c r="G21" i="19" l="1"/>
  <c r="E21" i="19"/>
  <c r="E24" i="19" s="1"/>
  <c r="E25" i="19" s="1"/>
  <c r="M10" i="19"/>
  <c r="M9" i="19" s="1"/>
  <c r="H20" i="22"/>
  <c r="H15" i="22"/>
  <c r="H16" i="22" s="1"/>
  <c r="H19" i="22" s="1"/>
  <c r="H23" i="22" s="1"/>
  <c r="G33" i="19"/>
  <c r="F21" i="19"/>
  <c r="F38" i="16"/>
  <c r="G12" i="23"/>
  <c r="E20" i="22"/>
  <c r="E15" i="22"/>
  <c r="E16" i="22" s="1"/>
  <c r="E19" i="22" s="1"/>
  <c r="E23" i="22" s="1"/>
  <c r="F34" i="20"/>
  <c r="F35" i="20" s="1"/>
  <c r="F39" i="20" s="1"/>
  <c r="G27" i="18"/>
  <c r="E14" i="18"/>
  <c r="F15" i="18"/>
  <c r="G15" i="18"/>
  <c r="E12" i="18"/>
  <c r="F14" i="18" s="1"/>
  <c r="F44" i="18" s="1"/>
  <c r="I15" i="18"/>
  <c r="I43" i="18" s="1"/>
  <c r="H15" i="18"/>
  <c r="H43" i="18" s="1"/>
  <c r="G27" i="17"/>
  <c r="H79" i="24"/>
  <c r="G79" i="24"/>
  <c r="F36" i="21"/>
  <c r="I34" i="21"/>
  <c r="I39" i="21" s="1"/>
  <c r="D43" i="21"/>
  <c r="D44" i="21" s="1"/>
  <c r="L30" i="21"/>
  <c r="M30" i="21" s="1"/>
  <c r="O30" i="21" s="1"/>
  <c r="E40" i="21"/>
  <c r="M24" i="21"/>
  <c r="M23" i="21" s="1"/>
  <c r="E41" i="21"/>
  <c r="E23" i="21"/>
  <c r="E24" i="21" s="1"/>
  <c r="G30" i="20"/>
  <c r="H28" i="20"/>
  <c r="G32" i="20"/>
  <c r="F47" i="20"/>
  <c r="D51" i="20"/>
  <c r="D52" i="20" s="1"/>
  <c r="D53" i="20" s="1"/>
  <c r="G49" i="20"/>
  <c r="O44" i="20"/>
  <c r="F49" i="20" s="1"/>
  <c r="N43" i="20"/>
  <c r="E50" i="20" s="1"/>
  <c r="N44" i="20"/>
  <c r="E49" i="20" s="1"/>
  <c r="I19" i="18"/>
  <c r="I21" i="18"/>
  <c r="I34" i="18" s="1"/>
  <c r="I22" i="18"/>
  <c r="I35" i="18" s="1"/>
  <c r="H31" i="18"/>
  <c r="H26" i="18"/>
  <c r="H38" i="18" s="1"/>
  <c r="G39" i="17"/>
  <c r="H35" i="17"/>
  <c r="J12" i="17"/>
  <c r="I22" i="17"/>
  <c r="G38" i="17"/>
  <c r="J9" i="17"/>
  <c r="I33" i="17"/>
  <c r="I18" i="17"/>
  <c r="H26" i="17"/>
  <c r="H24" i="17" s="1"/>
  <c r="I11" i="17"/>
  <c r="I21" i="17" s="1"/>
  <c r="G15" i="17"/>
  <c r="H14" i="17"/>
  <c r="G43" i="16"/>
  <c r="H11" i="11"/>
  <c r="J4" i="11"/>
  <c r="I10" i="11"/>
  <c r="G14" i="11"/>
  <c r="G17" i="11"/>
  <c r="G20" i="23"/>
  <c r="H15" i="23"/>
  <c r="H20" i="23" s="1"/>
  <c r="I8" i="23"/>
  <c r="H11" i="23"/>
  <c r="H17" i="23" s="1"/>
  <c r="H30" i="23"/>
  <c r="I23" i="22"/>
  <c r="N11" i="19" l="1"/>
  <c r="H39" i="17"/>
  <c r="H38" i="17"/>
  <c r="F43" i="16"/>
  <c r="F44" i="16" s="1"/>
  <c r="E47" i="16"/>
  <c r="H43" i="17"/>
  <c r="H50" i="17" s="1"/>
  <c r="H42" i="18"/>
  <c r="E15" i="18"/>
  <c r="E43" i="18" s="1"/>
  <c r="E44" i="18"/>
  <c r="G43" i="18"/>
  <c r="F43" i="18"/>
  <c r="F13" i="18"/>
  <c r="F12" i="18" s="1"/>
  <c r="G14" i="18" s="1"/>
  <c r="G44" i="18" s="1"/>
  <c r="G46" i="18" s="1"/>
  <c r="E43" i="21"/>
  <c r="L29" i="21"/>
  <c r="M29" i="21" s="1"/>
  <c r="O29" i="21" s="1"/>
  <c r="O31" i="21" s="1"/>
  <c r="D58" i="21"/>
  <c r="E28" i="21"/>
  <c r="E32" i="21" s="1"/>
  <c r="E39" i="21" s="1"/>
  <c r="E27" i="21"/>
  <c r="I44" i="21"/>
  <c r="I58" i="21" s="1"/>
  <c r="N25" i="21"/>
  <c r="G34" i="20"/>
  <c r="G35" i="20" s="1"/>
  <c r="G39" i="20" s="1"/>
  <c r="G48" i="20" s="1"/>
  <c r="F43" i="20"/>
  <c r="F48" i="20" s="1"/>
  <c r="E52" i="20"/>
  <c r="E53" i="20" s="1"/>
  <c r="N42" i="20"/>
  <c r="N41" i="20" s="1"/>
  <c r="O43" i="20" s="1"/>
  <c r="F50" i="20" s="1"/>
  <c r="F52" i="20" s="1"/>
  <c r="H32" i="20"/>
  <c r="G47" i="20"/>
  <c r="G43" i="20" s="1"/>
  <c r="H30" i="20"/>
  <c r="I31" i="18"/>
  <c r="I26" i="18"/>
  <c r="I38" i="18" s="1"/>
  <c r="H27" i="18"/>
  <c r="K9" i="17"/>
  <c r="J11" i="17"/>
  <c r="J21" i="17" s="1"/>
  <c r="J33" i="17"/>
  <c r="I26" i="17"/>
  <c r="J18" i="17"/>
  <c r="I35" i="17"/>
  <c r="I38" i="17" s="1"/>
  <c r="H23" i="17"/>
  <c r="H27" i="17" s="1"/>
  <c r="H15" i="17"/>
  <c r="I14" i="17"/>
  <c r="K12" i="17"/>
  <c r="J22" i="17"/>
  <c r="G44" i="16"/>
  <c r="H44" i="16" s="1"/>
  <c r="I44" i="16" s="1"/>
  <c r="J44" i="16" s="1"/>
  <c r="H17" i="11"/>
  <c r="H14" i="11"/>
  <c r="J10" i="11"/>
  <c r="J11" i="11" s="1"/>
  <c r="I9" i="11"/>
  <c r="I11" i="11" s="1"/>
  <c r="I11" i="23"/>
  <c r="I17" i="23" s="1"/>
  <c r="J8" i="23"/>
  <c r="I15" i="23"/>
  <c r="H12" i="23"/>
  <c r="F22" i="19" l="1"/>
  <c r="F24" i="19" s="1"/>
  <c r="F25" i="19" s="1"/>
  <c r="N10" i="19"/>
  <c r="N9" i="19" s="1"/>
  <c r="I41" i="20"/>
  <c r="I48" i="20" s="1"/>
  <c r="I53" i="20" s="1"/>
  <c r="E46" i="18"/>
  <c r="F53" i="20"/>
  <c r="G13" i="18"/>
  <c r="G12" i="18" s="1"/>
  <c r="H14" i="18" s="1"/>
  <c r="G47" i="18"/>
  <c r="F46" i="18"/>
  <c r="F47" i="18"/>
  <c r="I42" i="18"/>
  <c r="D57" i="18" s="1"/>
  <c r="E47" i="18"/>
  <c r="E44" i="21"/>
  <c r="F41" i="21"/>
  <c r="F43" i="21" s="1"/>
  <c r="F23" i="21"/>
  <c r="F24" i="21" s="1"/>
  <c r="N24" i="21"/>
  <c r="N23" i="21" s="1"/>
  <c r="H51" i="21"/>
  <c r="I51" i="21"/>
  <c r="I55" i="21" s="1"/>
  <c r="G51" i="21"/>
  <c r="F51" i="21"/>
  <c r="E51" i="21"/>
  <c r="E55" i="21" s="1"/>
  <c r="E56" i="21" s="1"/>
  <c r="O42" i="20"/>
  <c r="O41" i="20" s="1"/>
  <c r="P43" i="20" s="1"/>
  <c r="H34" i="20"/>
  <c r="H35" i="20" s="1"/>
  <c r="H39" i="20" s="1"/>
  <c r="H48" i="20" s="1"/>
  <c r="I27" i="18"/>
  <c r="J14" i="17"/>
  <c r="J23" i="17" s="1"/>
  <c r="I24" i="17"/>
  <c r="J35" i="17"/>
  <c r="J38" i="17" s="1"/>
  <c r="I39" i="17"/>
  <c r="L12" i="17"/>
  <c r="L22" i="17" s="1"/>
  <c r="K22" i="17"/>
  <c r="I23" i="17"/>
  <c r="I15" i="17"/>
  <c r="I43" i="17"/>
  <c r="I50" i="17" s="1"/>
  <c r="J26" i="17"/>
  <c r="J24" i="17" s="1"/>
  <c r="L9" i="17"/>
  <c r="K33" i="17"/>
  <c r="K11" i="17"/>
  <c r="K21" i="17" s="1"/>
  <c r="K18" i="17"/>
  <c r="J14" i="11"/>
  <c r="I14" i="11"/>
  <c r="I17" i="11"/>
  <c r="I12" i="23"/>
  <c r="I20" i="23"/>
  <c r="K8" i="23"/>
  <c r="J15" i="23"/>
  <c r="J11" i="23"/>
  <c r="J17" i="23" s="1"/>
  <c r="O11" i="19" l="1"/>
  <c r="H44" i="18"/>
  <c r="H13" i="18"/>
  <c r="H12" i="18" s="1"/>
  <c r="I14" i="18" s="1"/>
  <c r="O25" i="21"/>
  <c r="F27" i="21"/>
  <c r="F28" i="21"/>
  <c r="F32" i="21" s="1"/>
  <c r="F39" i="21" s="1"/>
  <c r="E58" i="21"/>
  <c r="E59" i="21" s="1"/>
  <c r="H53" i="20"/>
  <c r="D55" i="20"/>
  <c r="G55" i="20"/>
  <c r="I27" i="17"/>
  <c r="J43" i="17"/>
  <c r="J50" i="17" s="1"/>
  <c r="G50" i="20"/>
  <c r="G52" i="20" s="1"/>
  <c r="G53" i="20" s="1"/>
  <c r="P42" i="20"/>
  <c r="P41" i="20" s="1"/>
  <c r="I44" i="18"/>
  <c r="I13" i="18"/>
  <c r="I12" i="18" s="1"/>
  <c r="J27" i="17"/>
  <c r="J15" i="17"/>
  <c r="L18" i="17"/>
  <c r="L11" i="17"/>
  <c r="L21" i="17" s="1"/>
  <c r="L33" i="17"/>
  <c r="K26" i="17"/>
  <c r="K14" i="17"/>
  <c r="K23" i="17" s="1"/>
  <c r="J39" i="17"/>
  <c r="K35" i="17"/>
  <c r="K43" i="17" s="1"/>
  <c r="K50" i="17" s="1"/>
  <c r="J12" i="23"/>
  <c r="J20" i="23"/>
  <c r="K11" i="23"/>
  <c r="K17" i="23" s="1"/>
  <c r="K15" i="23"/>
  <c r="L8" i="23"/>
  <c r="K12" i="23" l="1"/>
  <c r="G22" i="19"/>
  <c r="G24" i="19" s="1"/>
  <c r="G25" i="19" s="1"/>
  <c r="O10" i="19"/>
  <c r="O9" i="19" s="1"/>
  <c r="H47" i="18"/>
  <c r="H46" i="18"/>
  <c r="G41" i="21"/>
  <c r="G43" i="21" s="1"/>
  <c r="G23" i="21"/>
  <c r="G24" i="21" s="1"/>
  <c r="O24" i="21"/>
  <c r="O23" i="21" s="1"/>
  <c r="F55" i="21"/>
  <c r="F56" i="21" s="1"/>
  <c r="F44" i="21"/>
  <c r="D57" i="20"/>
  <c r="G57" i="20"/>
  <c r="I46" i="18"/>
  <c r="I47" i="18"/>
  <c r="L14" i="17"/>
  <c r="L23" i="17" s="1"/>
  <c r="L27" i="17" s="1"/>
  <c r="K15" i="17"/>
  <c r="K24" i="17"/>
  <c r="K27" i="17" s="1"/>
  <c r="M20" i="17"/>
  <c r="M27" i="17" s="1"/>
  <c r="K38" i="17"/>
  <c r="K39" i="17" s="1"/>
  <c r="L35" i="17"/>
  <c r="L38" i="17"/>
  <c r="K20" i="23"/>
  <c r="L15" i="23"/>
  <c r="M8" i="23"/>
  <c r="L11" i="23"/>
  <c r="L17" i="23" s="1"/>
  <c r="L20" i="23" l="1"/>
  <c r="D35" i="19"/>
  <c r="G35" i="19"/>
  <c r="D59" i="18"/>
  <c r="F58" i="21"/>
  <c r="F59" i="21" s="1"/>
  <c r="P25" i="21"/>
  <c r="G28" i="21"/>
  <c r="G32" i="21" s="1"/>
  <c r="G39" i="21" s="1"/>
  <c r="G27" i="21"/>
  <c r="L39" i="17"/>
  <c r="L15" i="17"/>
  <c r="L43" i="17"/>
  <c r="L50" i="17" s="1"/>
  <c r="L12" i="23"/>
  <c r="M11" i="23"/>
  <c r="M17" i="23" s="1"/>
  <c r="N8" i="23"/>
  <c r="M15" i="23"/>
  <c r="G55" i="21" l="1"/>
  <c r="G56" i="21" s="1"/>
  <c r="G44" i="21"/>
  <c r="H41" i="21"/>
  <c r="H43" i="21" s="1"/>
  <c r="H23" i="21"/>
  <c r="H24" i="21" s="1"/>
  <c r="P24" i="21"/>
  <c r="P23" i="21" s="1"/>
  <c r="M20" i="23"/>
  <c r="N11" i="23"/>
  <c r="N17" i="23" s="1"/>
  <c r="N15" i="23"/>
  <c r="M12" i="23"/>
  <c r="H28" i="21" l="1"/>
  <c r="H32" i="21" s="1"/>
  <c r="H39" i="21" s="1"/>
  <c r="H27" i="21"/>
  <c r="G58" i="21"/>
  <c r="G59" i="21" s="1"/>
  <c r="N12" i="23"/>
  <c r="N20" i="23"/>
  <c r="D22" i="23" s="1"/>
  <c r="H55" i="21" l="1"/>
  <c r="H56" i="21" s="1"/>
  <c r="I56" i="21" s="1"/>
  <c r="H44" i="21"/>
  <c r="G46" i="21"/>
  <c r="D46" i="21"/>
  <c r="H58" i="21" l="1"/>
  <c r="H59" i="21" s="1"/>
  <c r="I59" i="21" s="1"/>
  <c r="D48" i="21"/>
  <c r="G48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</author>
  </authors>
  <commentList>
    <comment ref="C3" authorId="0" shapeId="0" xr:uid="{63FCB9F8-44F0-43AC-BF87-3AE1BA7F87EC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poner g sombrero en color blanco
</t>
        </r>
      </text>
    </comment>
  </commentList>
</comments>
</file>

<file path=xl/sharedStrings.xml><?xml version="1.0" encoding="utf-8"?>
<sst xmlns="http://schemas.openxmlformats.org/spreadsheetml/2006/main" count="1045" uniqueCount="369">
  <si>
    <t>flujo de caja libre</t>
  </si>
  <si>
    <t>año 0</t>
  </si>
  <si>
    <t>año 1</t>
  </si>
  <si>
    <t xml:space="preserve">   activo fijo</t>
  </si>
  <si>
    <t>impto.a la renta</t>
  </si>
  <si>
    <t>inversión</t>
  </si>
  <si>
    <t xml:space="preserve">   capital de trabajo</t>
  </si>
  <si>
    <t>FCL</t>
  </si>
  <si>
    <t>(-) SD</t>
  </si>
  <si>
    <t>(+)EFI</t>
  </si>
  <si>
    <t>deuda</t>
  </si>
  <si>
    <t>FCFinanc</t>
  </si>
  <si>
    <t>FCA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</si>
  <si>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</si>
  <si>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</si>
  <si>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</si>
  <si>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</si>
  <si>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</si>
  <si>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</si>
  <si>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</si>
  <si>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</si>
  <si>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</si>
  <si>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D</t>
  </si>
  <si>
    <t>+</t>
  </si>
  <si>
    <t>E</t>
  </si>
  <si>
    <t>COK</t>
  </si>
  <si>
    <t>cxc</t>
  </si>
  <si>
    <t>inventarios</t>
  </si>
  <si>
    <t>ventas</t>
  </si>
  <si>
    <t>costo de ventas</t>
  </si>
  <si>
    <t>depreciación</t>
  </si>
  <si>
    <t>utilidad bruta</t>
  </si>
  <si>
    <t>gastos operativos</t>
  </si>
  <si>
    <t>utilidad operativa</t>
  </si>
  <si>
    <t>(+) caja mínima</t>
  </si>
  <si>
    <t>-</t>
  </si>
  <si>
    <t>=</t>
  </si>
  <si>
    <t>estado de resultados</t>
  </si>
  <si>
    <t>impuesto a la renta</t>
  </si>
  <si>
    <t>utilidad neta</t>
  </si>
  <si>
    <t>ingresos</t>
  </si>
  <si>
    <t>ut.neta</t>
  </si>
  <si>
    <t>(+)depreciación</t>
  </si>
  <si>
    <t>FC</t>
  </si>
  <si>
    <t>VPN</t>
  </si>
  <si>
    <t>c/c-c/p</t>
  </si>
  <si>
    <t>consumo</t>
  </si>
  <si>
    <t>costo/m3</t>
  </si>
  <si>
    <t>precio/m3</t>
  </si>
  <si>
    <t>costos</t>
  </si>
  <si>
    <t>gasolina</t>
  </si>
  <si>
    <t>diesel</t>
  </si>
  <si>
    <t>kerosene</t>
  </si>
  <si>
    <t>lubricantes</t>
  </si>
  <si>
    <t>mensual</t>
  </si>
  <si>
    <t>día</t>
  </si>
  <si>
    <t>proveedores 1</t>
  </si>
  <si>
    <t>proveedores 2</t>
  </si>
  <si>
    <t>capital de trab.</t>
  </si>
  <si>
    <t>Efectivo</t>
  </si>
  <si>
    <t>Cuentas por Cobrar</t>
  </si>
  <si>
    <t>Inventario</t>
  </si>
  <si>
    <t>Cuentas por pagar</t>
  </si>
  <si>
    <t>tasa de impuesto</t>
  </si>
  <si>
    <t>NOPAT</t>
  </si>
  <si>
    <t>(+) depreciación</t>
  </si>
  <si>
    <t>(+) recupero C.T.</t>
  </si>
  <si>
    <t>Inversión</t>
  </si>
  <si>
    <t>a)</t>
  </si>
  <si>
    <t>b)</t>
  </si>
  <si>
    <t>tasa de interes</t>
  </si>
  <si>
    <t>aporte</t>
  </si>
  <si>
    <t>WACC</t>
  </si>
  <si>
    <t>año 11</t>
  </si>
  <si>
    <t>ingreso</t>
  </si>
  <si>
    <t>impuesto renta</t>
  </si>
  <si>
    <t>(+) recupero cap.de trabajo</t>
  </si>
  <si>
    <t>insumos</t>
  </si>
  <si>
    <t>publicidad</t>
  </si>
  <si>
    <t>personal</t>
  </si>
  <si>
    <t>servicios</t>
  </si>
  <si>
    <t>alquiler (cto.oportunidad)</t>
  </si>
  <si>
    <t xml:space="preserve">   remodelación</t>
  </si>
  <si>
    <t xml:space="preserve">   equipamiento</t>
  </si>
  <si>
    <t>impto.renta</t>
  </si>
  <si>
    <t>flujo de caja</t>
  </si>
  <si>
    <t>recupero capital trabajo</t>
  </si>
  <si>
    <t>valor en libros AF</t>
  </si>
  <si>
    <t>factor actualización</t>
  </si>
  <si>
    <t>FCL actualizado</t>
  </si>
  <si>
    <t>Inversión por recuperar</t>
  </si>
  <si>
    <t>más de 5 años</t>
  </si>
  <si>
    <t>c)</t>
  </si>
  <si>
    <t>costos operativos</t>
  </si>
  <si>
    <t>alquiler</t>
  </si>
  <si>
    <t>utilidad</t>
  </si>
  <si>
    <t>recupero maq./equipo</t>
  </si>
  <si>
    <t>capital de trabajo</t>
  </si>
  <si>
    <t xml:space="preserve">   maq./equipo</t>
  </si>
  <si>
    <t>producción</t>
  </si>
  <si>
    <t>precio</t>
  </si>
  <si>
    <t>saldo</t>
  </si>
  <si>
    <t>principal</t>
  </si>
  <si>
    <t>intereses</t>
  </si>
  <si>
    <t>cuota</t>
  </si>
  <si>
    <t>mano de obra directa</t>
  </si>
  <si>
    <t>cto.materiales directos</t>
  </si>
  <si>
    <t>gtos.indirectos</t>
  </si>
  <si>
    <t>gastos generales</t>
  </si>
  <si>
    <t>recupero cap.de trabajo</t>
  </si>
  <si>
    <t>recupero activo fijo</t>
  </si>
  <si>
    <t>servicio deuda</t>
  </si>
  <si>
    <t>escudo fiscal intereses</t>
  </si>
  <si>
    <t>N° de anticuchos</t>
  </si>
  <si>
    <t>costo anual</t>
  </si>
  <si>
    <t>ahorro de cto. Anticuchos (puesto antigüo)</t>
  </si>
  <si>
    <t>costo de ventas (sin anticuchos)</t>
  </si>
  <si>
    <t>costo de anticuchos</t>
  </si>
  <si>
    <t>tasa</t>
  </si>
  <si>
    <t>(+)recupero cap.trabajo</t>
  </si>
  <si>
    <t>(-)servicio deuda</t>
  </si>
  <si>
    <t>(+)deuda</t>
  </si>
  <si>
    <t>interes</t>
  </si>
  <si>
    <t>TIRE</t>
  </si>
  <si>
    <t>TIRF</t>
  </si>
  <si>
    <t>% costo de ventas</t>
  </si>
  <si>
    <t>% gastos de ventas</t>
  </si>
  <si>
    <t>depreciación edificaciones</t>
  </si>
  <si>
    <t>depreciación activo fijo</t>
  </si>
  <si>
    <t>ganancias extraordinarias</t>
  </si>
  <si>
    <t>gastos administrativos</t>
  </si>
  <si>
    <t>gastos de venta</t>
  </si>
  <si>
    <t xml:space="preserve">   terreno</t>
  </si>
  <si>
    <t xml:space="preserve">   edificaciones</t>
  </si>
  <si>
    <t>(+) EFI</t>
  </si>
  <si>
    <t>FCFinanciamiento</t>
  </si>
  <si>
    <t>interés</t>
  </si>
  <si>
    <t>capital de trabajo increm.</t>
  </si>
  <si>
    <t>costo</t>
  </si>
  <si>
    <t>utilidad antes de imptos.</t>
  </si>
  <si>
    <t>(+) gastos financieros</t>
  </si>
  <si>
    <t>Utilidad operativa</t>
  </si>
  <si>
    <t>factor depreciación</t>
  </si>
  <si>
    <t>recupero capital de trab.</t>
  </si>
  <si>
    <t xml:space="preserve">   activos fijos</t>
  </si>
  <si>
    <t>(+) deuda</t>
  </si>
  <si>
    <t>factores actualización</t>
  </si>
  <si>
    <t>FCA actualizado</t>
  </si>
  <si>
    <t>sit.con sist.navegación</t>
  </si>
  <si>
    <t>reparación</t>
  </si>
  <si>
    <t>reparaciones</t>
  </si>
  <si>
    <t>imptos.</t>
  </si>
  <si>
    <t>costo de oportunidad</t>
  </si>
  <si>
    <t>inversión adicional</t>
  </si>
  <si>
    <t>sit.sin sist.navegación</t>
  </si>
  <si>
    <t>proyecto nueva lancha</t>
  </si>
  <si>
    <t>venta chispa vital</t>
  </si>
  <si>
    <t>(-) dep. maq.nueva</t>
  </si>
  <si>
    <t>ut. neta</t>
  </si>
  <si>
    <t>sin proyecto</t>
  </si>
  <si>
    <t>FC sin proyecto</t>
  </si>
  <si>
    <t>con proyecto</t>
  </si>
  <si>
    <t>FC con proyecto</t>
  </si>
  <si>
    <t>FC con proyecto - FC sin proyecto</t>
  </si>
  <si>
    <t>(-) depreciación</t>
  </si>
  <si>
    <t>ahorro en costos</t>
  </si>
  <si>
    <t>inversión en CT</t>
  </si>
  <si>
    <t>VPN proyecto</t>
  </si>
  <si>
    <t>escudo fiscal</t>
  </si>
  <si>
    <t>ahorro fiscal gasto cte.</t>
  </si>
  <si>
    <t>FC INCREMENTAL</t>
  </si>
  <si>
    <t>FC CON/SIN PROYECTO</t>
  </si>
  <si>
    <t>situación sin proyecto</t>
  </si>
  <si>
    <t>situación con proyecto</t>
  </si>
  <si>
    <t>pérdida extraordinaria</t>
  </si>
  <si>
    <t>(-)depreciación</t>
  </si>
  <si>
    <t>venta vehiculo antigüo</t>
  </si>
  <si>
    <t>inversión vehiculo nuevo</t>
  </si>
  <si>
    <t>costo diario</t>
  </si>
  <si>
    <t>incremento CT a)</t>
  </si>
  <si>
    <t>incremento ventas b)</t>
  </si>
  <si>
    <t>a) / b)</t>
  </si>
  <si>
    <t>% inventarios</t>
  </si>
  <si>
    <t>% cxc - cxp</t>
  </si>
  <si>
    <t>CTN incremental</t>
  </si>
  <si>
    <t>tasa de interés</t>
  </si>
  <si>
    <t>EBITDA x (1-Tax)</t>
  </si>
  <si>
    <t>depreciación x tax</t>
  </si>
  <si>
    <t>recupero CT</t>
  </si>
  <si>
    <t>EBITDA x (1-tax)</t>
  </si>
  <si>
    <t>(+) depreciación x tax</t>
  </si>
  <si>
    <t>FCFinanc.</t>
  </si>
  <si>
    <t>% E</t>
  </si>
  <si>
    <t>% D</t>
  </si>
  <si>
    <t>tax</t>
  </si>
  <si>
    <t>VPN FCL @ 9.80%</t>
  </si>
  <si>
    <t>tasas</t>
  </si>
  <si>
    <t>participación</t>
  </si>
  <si>
    <t>VPN FCL@7.64%</t>
  </si>
  <si>
    <t xml:space="preserve">   maquinaria y equipo</t>
  </si>
  <si>
    <t xml:space="preserve">tasa de impuesto </t>
  </si>
  <si>
    <t>VPN FCL@10.20%</t>
  </si>
  <si>
    <t>VPN FCA@15%</t>
  </si>
  <si>
    <t>TIR FCL</t>
  </si>
  <si>
    <t>TIR FCA</t>
  </si>
  <si>
    <t>FC Financiamiento</t>
  </si>
  <si>
    <t>x inversión recuperar</t>
  </si>
  <si>
    <t>depreciación gasto</t>
  </si>
  <si>
    <t>gasto activado como AF</t>
  </si>
  <si>
    <t>proyecto</t>
  </si>
  <si>
    <t>CTNI</t>
  </si>
  <si>
    <t>VPN FCL@14.52%</t>
  </si>
  <si>
    <t>vehículo por adquirir</t>
  </si>
  <si>
    <t>venta lancha actual</t>
  </si>
  <si>
    <t>cap.de trabajo neto total</t>
  </si>
  <si>
    <t>g)</t>
  </si>
  <si>
    <t>h)</t>
  </si>
  <si>
    <t>d)</t>
  </si>
  <si>
    <t>e)</t>
  </si>
  <si>
    <t>f)</t>
  </si>
  <si>
    <t>El FC incremental (FC del proyecto) es el FC resultante de la inclusión de ingresos y gastos directos o indirectos atribuibles al mismo. En ese orden de ideas, entonces:</t>
  </si>
  <si>
    <t>Es un costo atribuible al proyecto. Como tal debe incluirse en el FC incremental.</t>
  </si>
  <si>
    <t>Es un costo hundido. Se haga o no el proyecto es un costo en el que ya se incurrió. No debe incluirse en el FC incremental.</t>
  </si>
  <si>
    <t>Es un costo de oportunidad (ingresos dejados de percibir por llevar adelante el proyecto). Si pueden ser monetizados deben incorporarse al FC incremental.</t>
  </si>
  <si>
    <t>La depreciación no se incorpora al FC de un proyecto.</t>
  </si>
  <si>
    <t>El escudo fiscal proveniente de la depreciación es un ingreso en efectivo atribuible al proyecto, por tal razón debe incluírsele en el FC incremental.</t>
  </si>
  <si>
    <t>Es una inversión en capital de trabajo para poder elaborar los productos que manufacturará el proyecto. Como tal debe ser considerado en el FC incremental.</t>
  </si>
  <si>
    <t>Se haga o no el proyecto es un gasto que ya se efectúo. Es decir, es un costo hundido por lo que no debe incorporarse al FC incremental.</t>
  </si>
  <si>
    <t>período de desfase (días)</t>
  </si>
  <si>
    <t>(-) proveedores (días)</t>
  </si>
  <si>
    <t>capital de trabajo 20X0 contable</t>
  </si>
  <si>
    <t>capital de trabajo 20X1 contable</t>
  </si>
  <si>
    <t>ventas 20X0</t>
  </si>
  <si>
    <t>ventas 20X1</t>
  </si>
  <si>
    <t>tasa de interés (TIR)</t>
  </si>
  <si>
    <t>FLUJO DE CAJA INCREMENTAL</t>
  </si>
  <si>
    <t>utilidad operativa (UAII)</t>
  </si>
  <si>
    <t>gastos restauración</t>
  </si>
  <si>
    <t xml:space="preserve">     ventas</t>
  </si>
  <si>
    <t xml:space="preserve">flujo de caja libre </t>
  </si>
  <si>
    <t>costo proy.</t>
  </si>
  <si>
    <t>ahorro</t>
  </si>
  <si>
    <t>costo actual</t>
  </si>
  <si>
    <t xml:space="preserve">    ventas</t>
  </si>
  <si>
    <t>gastos administratvos</t>
  </si>
  <si>
    <t>capital de trabajo % vtas.</t>
  </si>
  <si>
    <t>valor liquidación (exceso sobre VL)</t>
  </si>
  <si>
    <t>vaor libros activo fijo</t>
  </si>
  <si>
    <t>con el WACC</t>
  </si>
  <si>
    <t>con el COK</t>
  </si>
  <si>
    <t>ventas incrementales</t>
  </si>
  <si>
    <t>reducción costos (incremental)</t>
  </si>
  <si>
    <t>(+) dep. maquina actual</t>
  </si>
  <si>
    <t>incremento ingresos</t>
  </si>
  <si>
    <t>valor liquidación activo fijo</t>
  </si>
  <si>
    <t>recupero capital de trabajo</t>
  </si>
  <si>
    <t>venta maq.vieja</t>
  </si>
  <si>
    <t>inversión activo fijo</t>
  </si>
  <si>
    <t>inversión capital de trabajo</t>
  </si>
  <si>
    <t>dep. maq.actual</t>
  </si>
  <si>
    <t>ganancias ext. vta. maq.nueva</t>
  </si>
  <si>
    <t>pérdida ext. vta. maq.actual</t>
  </si>
  <si>
    <t>subvención</t>
  </si>
  <si>
    <t>dep. maq.nueva</t>
  </si>
  <si>
    <t>valor liquidación</t>
  </si>
  <si>
    <t>inversión maq. nueva</t>
  </si>
  <si>
    <t>factor de actualización</t>
  </si>
  <si>
    <t>capital de trabajo (sin necesidades caja)</t>
  </si>
  <si>
    <t>VPN FCA @ 14%</t>
  </si>
  <si>
    <t>PANEL DE VARIABLES DE ENTRADA</t>
  </si>
  <si>
    <t xml:space="preserve">valor terreno </t>
  </si>
  <si>
    <t>VP ahorro fiscal</t>
  </si>
  <si>
    <t>alternativa 1</t>
  </si>
  <si>
    <t>alternativa 2</t>
  </si>
  <si>
    <t>(+) cxc (días)/ciclo de cobranza</t>
  </si>
  <si>
    <t>(+) inventarios (días)/ciclo de producción</t>
  </si>
  <si>
    <t xml:space="preserve"> </t>
  </si>
  <si>
    <t xml:space="preserve">impuesto a la renta </t>
  </si>
  <si>
    <t>VPN FCA@10%</t>
  </si>
  <si>
    <t>pérdida ext. maq. vieja</t>
  </si>
  <si>
    <t>reducción costos</t>
  </si>
  <si>
    <t>Es un costo hundido. Nadie está interesado en comprar el terreno o los edificios por lo que tampoco es un costo de oportunidad. Al ser un costo hundido no se incluye en el FC incremental.</t>
  </si>
  <si>
    <t>valor de venta equipo antiguo</t>
  </si>
  <si>
    <t>D/E</t>
  </si>
  <si>
    <t>D/A</t>
  </si>
  <si>
    <t>ganancia ext. maq. nueva</t>
  </si>
  <si>
    <t>(+) valor en libros vehículo actual</t>
  </si>
  <si>
    <t>pérdida ext.</t>
  </si>
  <si>
    <t>FC con proy.-FC sin proy.</t>
  </si>
  <si>
    <t>EBITDA</t>
  </si>
  <si>
    <t>aporte (en $ y %)</t>
  </si>
  <si>
    <t>deuda (en $ y %)</t>
  </si>
  <si>
    <t>por el método del NOPAT</t>
  </si>
  <si>
    <t xml:space="preserve">     ingresos</t>
  </si>
  <si>
    <t xml:space="preserve">     alquiler</t>
  </si>
  <si>
    <t>La lancha de carga de Satco</t>
  </si>
  <si>
    <t>Determinación del capital de trabajo de la empresa XYZ</t>
  </si>
  <si>
    <t>El requerimiento de capital de trabajo de Galletera del Sur SA</t>
  </si>
  <si>
    <r>
      <rPr>
        <b/>
        <i/>
        <sz val="11"/>
        <rFont val="Cambria"/>
        <family val="1"/>
      </rPr>
      <t>Stock</t>
    </r>
    <r>
      <rPr>
        <b/>
        <sz val="11"/>
        <rFont val="Cambria"/>
        <family val="1"/>
      </rPr>
      <t xml:space="preserve"> cap. de trabajo</t>
    </r>
  </si>
  <si>
    <t>El flujo de caja libre de un proyecto</t>
  </si>
  <si>
    <t xml:space="preserve"> El capital de trabajo de una estación de servicios</t>
  </si>
  <si>
    <t>Las necesidades de capital de trabajo de Juegolandia SA</t>
  </si>
  <si>
    <t>El proyecto de PF SAC</t>
  </si>
  <si>
    <t>b) estado de resultados</t>
  </si>
  <si>
    <t>a) estado de resultados</t>
  </si>
  <si>
    <t>c) VPN</t>
  </si>
  <si>
    <t xml:space="preserve">      b)</t>
  </si>
  <si>
    <t>a) ALQUILER COMO COSTO DE OPORTUNIDAD</t>
  </si>
  <si>
    <t>b) ALQUILER COMO COSTO HUNDIDO</t>
  </si>
  <si>
    <t>El proyecto de la planta de alimentos para cerdos</t>
  </si>
  <si>
    <t>El proyecto de B&amp;F</t>
  </si>
  <si>
    <t>El puesto de anticuchos de Juan Torres</t>
  </si>
  <si>
    <t>La evaluación incompleta de un proyecto de inversión (parte 2)</t>
  </si>
  <si>
    <t>1. Conceptos básicos</t>
  </si>
  <si>
    <t>2. Identificación de flujos incrementales</t>
  </si>
  <si>
    <t>3. Flujo de caja perpetuo</t>
  </si>
  <si>
    <t>4. Determinación del capital de trabajo de la empresa XYZ</t>
  </si>
  <si>
    <t>5. El requerimiento de capital de trabajo de Galletera del Sur SA</t>
  </si>
  <si>
    <t>6. El capital de trabajo de una estación de servicios</t>
  </si>
  <si>
    <t>7. Las necesidades de capital de trabajo de Juegolandia SA</t>
  </si>
  <si>
    <t>8. El flujo de caja libre de un proyecto</t>
  </si>
  <si>
    <t>9. El proyecto de PF SAC</t>
  </si>
  <si>
    <t>10. El proyecto de un restaurante</t>
  </si>
  <si>
    <t>11. El proyecto de la planta de alimentos para cerdos</t>
  </si>
  <si>
    <t>12. El proyecto de B&amp;F</t>
  </si>
  <si>
    <t>13. El puesto de anticuchos de Juan Torres</t>
  </si>
  <si>
    <t>14. El proyecto de sofás reclinables de Cojines del Perú SA</t>
  </si>
  <si>
    <t>15. El proyecto de Sol y Sombra SA</t>
  </si>
  <si>
    <t>16. La sustitución de maquinaria de Tornillera Industrial SA</t>
  </si>
  <si>
    <t>17. La sustitución del vehículo de Notas SA</t>
  </si>
  <si>
    <t>18. La lancha de carga de Satco</t>
  </si>
  <si>
    <t>19. La evaluación incompleta de un proyecto de inversión (parte 1)</t>
  </si>
  <si>
    <t>20. El horno de Negocios SA</t>
  </si>
  <si>
    <t>21. La evaluación incompleta de un proyecto de inversión (parte 2)</t>
  </si>
  <si>
    <t>Δ ventas (en $)</t>
  </si>
  <si>
    <t>El proyecto de sofás reclinables de Cojines del Perú SA</t>
  </si>
  <si>
    <t>El proyecto de Sol y Sombra SA</t>
  </si>
  <si>
    <t>La sustitución de maquinaria de Tornillera Industrial SA</t>
  </si>
  <si>
    <t>La sustitución del vehículo de Notas SA</t>
  </si>
  <si>
    <t>La evaluación incompleta de un proyecto de inversión (parte 1)</t>
  </si>
  <si>
    <t>El horno de Negocios SA</t>
  </si>
  <si>
    <t>método contable</t>
  </si>
  <si>
    <t>período de desfase</t>
  </si>
  <si>
    <t>% de cambio en ventas</t>
  </si>
  <si>
    <t>stock de capital de trabajo neto</t>
  </si>
  <si>
    <t>cap.de trabajo neto increm.</t>
  </si>
  <si>
    <t>Paúl Lira Briceño</t>
  </si>
  <si>
    <t>Evaluación de proyectos de inversión</t>
  </si>
  <si>
    <t>Guía teórica y práctica</t>
  </si>
  <si>
    <t>EJERCICIOS Y MINICASOS RESUELTOS - CAPÍTULO I</t>
  </si>
  <si>
    <t>i)</t>
  </si>
  <si>
    <t>j)</t>
  </si>
  <si>
    <r>
      <rPr>
        <b/>
        <sz val="10"/>
        <color theme="1"/>
        <rFont val="Arial"/>
        <family val="2"/>
      </rPr>
      <t xml:space="preserve">Verdadero. </t>
    </r>
    <r>
      <rPr>
        <sz val="10"/>
        <color theme="1"/>
        <rFont val="Arial"/>
        <family val="2"/>
      </rPr>
      <t>A mayor depreciación mayor escudo fiscal y menor impuesto a la renta. En consecuencia, mayor efectivo generado por el proyecto.</t>
    </r>
  </si>
  <si>
    <r>
      <rPr>
        <b/>
        <sz val="10"/>
        <color theme="1"/>
        <rFont val="Arial"/>
        <family val="2"/>
      </rPr>
      <t>Falso.</t>
    </r>
    <r>
      <rPr>
        <sz val="10"/>
        <color theme="1"/>
        <rFont val="Arial"/>
        <family val="2"/>
      </rPr>
      <t xml:space="preserve"> Esquemas de depreciación acelerada permiten mayores ahorros de impuesto a la renta en los primeros años de operación del proyecto, lo que trae como consecuencia un mayor VPN.</t>
    </r>
  </si>
  <si>
    <r>
      <rPr>
        <b/>
        <sz val="10"/>
        <color theme="1"/>
        <rFont val="Arial"/>
        <family val="2"/>
      </rPr>
      <t>Verdadero.</t>
    </r>
    <r>
      <rPr>
        <sz val="10"/>
        <color theme="1"/>
        <rFont val="Arial"/>
        <family val="2"/>
      </rPr>
      <t xml:space="preserve"> Si no hay impuesto que deducir el EF no tiene aplicación.</t>
    </r>
  </si>
  <si>
    <r>
      <rPr>
        <b/>
        <sz val="10"/>
        <color theme="1"/>
        <rFont val="Arial"/>
        <family val="2"/>
      </rPr>
      <t>Verdadero.</t>
    </r>
    <r>
      <rPr>
        <sz val="10"/>
        <color theme="1"/>
        <rFont val="Arial"/>
        <family val="2"/>
      </rPr>
      <t xml:space="preserve"> El FCL de un proyecto es el efectivo que deja el proyecto luego de cubrir costos, pagar impuestos y ejecutar las inversiones en activos fijos y en capital de trabajo para asegurar la continuidad del negocio.</t>
    </r>
  </si>
  <si>
    <r>
      <rPr>
        <b/>
        <sz val="10"/>
        <color theme="1"/>
        <rFont val="Arial"/>
        <family val="2"/>
      </rPr>
      <t>Falso.</t>
    </r>
    <r>
      <rPr>
        <sz val="10"/>
        <color theme="1"/>
        <rFont val="Arial"/>
        <family val="2"/>
      </rPr>
      <t xml:space="preserve"> Se haga o no el proyecto el personal administrativo ya existente recibirá su sueldo. Al ser un costo hundido no debe incorporarse al FC del proyecto.</t>
    </r>
  </si>
  <si>
    <r>
      <rPr>
        <b/>
        <sz val="10"/>
        <color theme="1"/>
        <rFont val="Arial"/>
        <family val="2"/>
      </rPr>
      <t xml:space="preserve">Falso. </t>
    </r>
    <r>
      <rPr>
        <sz val="10"/>
        <color theme="1"/>
        <rFont val="Arial"/>
        <family val="2"/>
      </rPr>
      <t>Un proyecto debe ejecutarse si y solo sí genera valor. Es decir, cuando supera la rentabilidad mínima exigida por los inversionistas.</t>
    </r>
  </si>
  <si>
    <r>
      <rPr>
        <b/>
        <sz val="10"/>
        <color theme="1"/>
        <rFont val="Arial"/>
        <family val="2"/>
      </rPr>
      <t xml:space="preserve">Falso. </t>
    </r>
    <r>
      <rPr>
        <sz val="10"/>
        <color theme="1"/>
        <rFont val="Arial"/>
        <family val="2"/>
      </rPr>
      <t>Si son gastos que se tuvieron que hacer se haga o no el proyecto, son costos hundidos y, por lo tanto, no deben incluirse en el FC.</t>
    </r>
  </si>
  <si>
    <r>
      <rPr>
        <b/>
        <sz val="10"/>
        <color theme="1"/>
        <rFont val="Arial"/>
        <family val="2"/>
      </rPr>
      <t>Falso.</t>
    </r>
    <r>
      <rPr>
        <sz val="10"/>
        <color theme="1"/>
        <rFont val="Arial"/>
        <family val="2"/>
      </rPr>
      <t xml:space="preserve"> El VPN tiene una relación inversa sólo con la tasa de descuento.</t>
    </r>
  </si>
  <si>
    <r>
      <rPr>
        <b/>
        <sz val="10"/>
        <color theme="1"/>
        <rFont val="Arial"/>
        <family val="2"/>
      </rPr>
      <t xml:space="preserve">Falso. </t>
    </r>
    <r>
      <rPr>
        <sz val="10"/>
        <color theme="1"/>
        <rFont val="Arial"/>
        <family val="2"/>
      </rPr>
      <t>El proyecto pueda aprovechar de inmediato el escudo fiscal proveniente de la pérdida contable que se registrará por la venta a un valor menor que el de libros.</t>
    </r>
  </si>
  <si>
    <r>
      <rPr>
        <b/>
        <sz val="10"/>
        <color theme="1"/>
        <rFont val="Arial"/>
        <family val="2"/>
      </rPr>
      <t>Falso.</t>
    </r>
    <r>
      <rPr>
        <sz val="10"/>
        <color theme="1"/>
        <rFont val="Arial"/>
        <family val="2"/>
      </rPr>
      <t xml:space="preserve"> La variación del costo de capital afectará a los proyectos que están en evaluación en ese momento. </t>
    </r>
  </si>
  <si>
    <t>Reemplazando, y teniendo en cuenta que la inversión en este caso es positiva, entonces:</t>
  </si>
  <si>
    <r>
      <rPr>
        <b/>
        <sz val="11"/>
        <color theme="1"/>
        <rFont val="Cambria"/>
        <family val="1"/>
      </rPr>
      <t>Falso.</t>
    </r>
    <r>
      <rPr>
        <sz val="11"/>
        <color theme="1"/>
        <rFont val="Cambria"/>
        <family val="1"/>
      </rPr>
      <t xml:space="preserve"> Depende de la tasa de descuento aplicable a ese flujo.</t>
    </r>
  </si>
  <si>
    <r>
      <rPr>
        <b/>
        <sz val="11"/>
        <color theme="1"/>
        <rFont val="Cambria"/>
        <family val="1"/>
      </rPr>
      <t>Verdadero.</t>
    </r>
    <r>
      <rPr>
        <sz val="11"/>
        <color theme="1"/>
        <rFont val="Cambria"/>
        <family val="1"/>
      </rPr>
      <t xml:space="preserve"> El flujo de hoy es equivalente al desembolso de un crédito, en tanto que los egresos a partir del año 1 son similares al pago del servicio de una deuda perpetua.</t>
    </r>
  </si>
  <si>
    <r>
      <rPr>
        <b/>
        <sz val="11"/>
        <color theme="1"/>
        <rFont val="Cambria"/>
        <family val="1"/>
      </rPr>
      <t>Falso.</t>
    </r>
    <r>
      <rPr>
        <sz val="11"/>
        <color theme="1"/>
        <rFont val="Cambria"/>
        <family val="1"/>
      </rPr>
      <t xml:space="preserve"> Nuevamente depende de la tasa de descuento aplicada.</t>
    </r>
  </si>
  <si>
    <r>
      <rPr>
        <b/>
        <sz val="11"/>
        <color theme="1"/>
        <rFont val="Cambria"/>
        <family val="1"/>
      </rPr>
      <t xml:space="preserve">Falso. </t>
    </r>
    <r>
      <rPr>
        <sz val="11"/>
        <color theme="1"/>
        <rFont val="Cambria"/>
        <family val="1"/>
      </rPr>
      <t>La expresión para hallar la TIR (siendo el flujo una perpetuidad) es la siguiente:</t>
    </r>
  </si>
  <si>
    <r>
      <rPr>
        <b/>
        <sz val="11"/>
        <color theme="1"/>
        <rFont val="Cambria"/>
        <family val="1"/>
      </rPr>
      <t>Verdadero.</t>
    </r>
    <r>
      <rPr>
        <sz val="11"/>
        <color theme="1"/>
        <rFont val="Cambria"/>
        <family val="1"/>
      </rPr>
      <t xml:space="preserve"> Hallando el VPN con una tasa de 11%:</t>
    </r>
  </si>
  <si>
    <r>
      <rPr>
        <b/>
        <sz val="11"/>
        <color theme="1"/>
        <rFont val="Cambria"/>
        <family val="1"/>
      </rPr>
      <t>Falso.</t>
    </r>
    <r>
      <rPr>
        <sz val="11"/>
        <color theme="1"/>
        <rFont val="Cambria"/>
        <family val="1"/>
      </rPr>
      <t xml:space="preserve"> Hallando el VPN con una tasa de 9%: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</si>
</sst>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1"/>
      <color theme="0"/>
      <name val="Cambria"/>
      <family val="1"/>
    </font>
    <font>
      <b/>
      <sz val="11"/>
      <name val="Cambria"/>
      <family val="1"/>
    </font>
    <font>
      <b/>
      <sz val="11"/>
      <color theme="1"/>
      <name val="Cambria"/>
      <family val="1"/>
    </font>
    <font>
      <sz val="11"/>
      <color theme="0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Cambria"/>
      <family val="1"/>
    </font>
    <font>
      <b/>
      <sz val="18"/>
      <color theme="0"/>
      <name val="Cambria"/>
      <family val="1"/>
    </font>
    <font>
      <b/>
      <i/>
      <sz val="10"/>
      <color theme="0"/>
      <name val="Cambria"/>
      <family val="1"/>
    </font>
    <font>
      <sz val="10"/>
      <name val="Cambria"/>
      <family val="1"/>
    </font>
    <font>
      <sz val="10"/>
      <color theme="1"/>
      <name val="Calibri"/>
      <family val="2"/>
      <scheme val="minor"/>
    </font>
    <font>
      <sz val="10"/>
      <color theme="0"/>
      <name val="Cambria"/>
      <family val="1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77">
    <xf numFmtId="0" fontId="0" fillId="0" borderId="0" xfId="0"/>
    <xf numFmtId="0" fontId="0" fillId="2" borderId="0" xfId="0" applyFill="1"/>
    <xf numFmtId="4" fontId="3" fillId="2" borderId="0" xfId="0" applyNumberFormat="1" applyFont="1" applyFill="1"/>
    <xf numFmtId="0" fontId="3" fillId="2" borderId="0" xfId="0" applyFont="1" applyFill="1"/>
    <xf numFmtId="4" fontId="3" fillId="2" borderId="0" xfId="0" applyNumberFormat="1" applyFont="1" applyFill="1" applyBorder="1"/>
    <xf numFmtId="4" fontId="4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10" fontId="3" fillId="2" borderId="0" xfId="1" applyNumberFormat="1" applyFont="1" applyFill="1"/>
    <xf numFmtId="4" fontId="3" fillId="2" borderId="0" xfId="0" applyNumberFormat="1" applyFont="1" applyFill="1" applyAlignment="1">
      <alignment horizontal="right"/>
    </xf>
    <xf numFmtId="0" fontId="4" fillId="2" borderId="0" xfId="0" applyFont="1" applyFill="1"/>
    <xf numFmtId="4" fontId="3" fillId="2" borderId="0" xfId="0" applyNumberFormat="1" applyFont="1" applyFill="1" applyAlignment="1">
      <alignment vertical="justify"/>
    </xf>
    <xf numFmtId="4" fontId="3" fillId="2" borderId="0" xfId="0" applyNumberFormat="1" applyFont="1" applyFill="1" applyAlignment="1">
      <alignment horizontal="left" indent="1"/>
    </xf>
    <xf numFmtId="4" fontId="5" fillId="2" borderId="0" xfId="0" applyNumberFormat="1" applyFont="1" applyFill="1" applyAlignment="1">
      <alignment horizontal="center" vertical="center"/>
    </xf>
    <xf numFmtId="4" fontId="3" fillId="2" borderId="15" xfId="0" applyNumberFormat="1" applyFont="1" applyFill="1" applyBorder="1"/>
    <xf numFmtId="4" fontId="6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horizontal="center" vertical="center"/>
    </xf>
    <xf numFmtId="164" fontId="9" fillId="3" borderId="3" xfId="0" applyNumberFormat="1" applyFont="1" applyFill="1" applyBorder="1" applyAlignment="1">
      <alignment horizontal="right" vertical="top"/>
    </xf>
    <xf numFmtId="164" fontId="9" fillId="3" borderId="7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vertical="top"/>
    </xf>
    <xf numFmtId="164" fontId="6" fillId="2" borderId="0" xfId="0" applyNumberFormat="1" applyFont="1" applyFill="1" applyBorder="1" applyAlignment="1">
      <alignment horizontal="right" vertical="top"/>
    </xf>
    <xf numFmtId="164" fontId="6" fillId="2" borderId="10" xfId="0" applyNumberFormat="1" applyFont="1" applyFill="1" applyBorder="1" applyAlignment="1">
      <alignment horizontal="right" vertical="top"/>
    </xf>
    <xf numFmtId="165" fontId="6" fillId="2" borderId="0" xfId="0" applyNumberFormat="1" applyFont="1" applyFill="1" applyBorder="1" applyAlignment="1">
      <alignment horizontal="right" vertical="top"/>
    </xf>
    <xf numFmtId="165" fontId="6" fillId="2" borderId="10" xfId="0" applyNumberFormat="1" applyFont="1" applyFill="1" applyBorder="1" applyAlignment="1">
      <alignment horizontal="right" vertical="top"/>
    </xf>
    <xf numFmtId="164" fontId="6" fillId="2" borderId="4" xfId="0" applyNumberFormat="1" applyFont="1" applyFill="1" applyBorder="1" applyAlignment="1">
      <alignment vertical="top"/>
    </xf>
    <xf numFmtId="165" fontId="6" fillId="2" borderId="2" xfId="0" applyNumberFormat="1" applyFont="1" applyFill="1" applyBorder="1" applyAlignment="1">
      <alignment horizontal="right" vertical="top"/>
    </xf>
    <xf numFmtId="165" fontId="6" fillId="2" borderId="11" xfId="0" applyNumberFormat="1" applyFont="1" applyFill="1" applyBorder="1" applyAlignment="1">
      <alignment horizontal="right" vertical="top"/>
    </xf>
    <xf numFmtId="164" fontId="6" fillId="2" borderId="0" xfId="0" applyNumberFormat="1" applyFont="1" applyFill="1" applyAlignment="1">
      <alignment vertical="top"/>
    </xf>
    <xf numFmtId="164" fontId="9" fillId="3" borderId="6" xfId="0" applyNumberFormat="1" applyFont="1" applyFill="1" applyBorder="1" applyAlignment="1">
      <alignment horizontal="right" vertical="top"/>
    </xf>
    <xf numFmtId="164" fontId="6" fillId="2" borderId="0" xfId="0" applyNumberFormat="1" applyFont="1" applyFill="1" applyBorder="1" applyAlignment="1">
      <alignment vertical="top"/>
    </xf>
    <xf numFmtId="164" fontId="6" fillId="2" borderId="10" xfId="0" applyNumberFormat="1" applyFont="1" applyFill="1" applyBorder="1" applyAlignment="1">
      <alignment vertical="top"/>
    </xf>
    <xf numFmtId="164" fontId="10" fillId="6" borderId="4" xfId="0" applyNumberFormat="1" applyFont="1" applyFill="1" applyBorder="1" applyAlignment="1">
      <alignment vertical="top"/>
    </xf>
    <xf numFmtId="164" fontId="11" fillId="6" borderId="2" xfId="0" applyNumberFormat="1" applyFont="1" applyFill="1" applyBorder="1" applyAlignment="1">
      <alignment horizontal="right" vertical="top"/>
    </xf>
    <xf numFmtId="164" fontId="11" fillId="6" borderId="11" xfId="0" applyNumberFormat="1" applyFont="1" applyFill="1" applyBorder="1" applyAlignment="1">
      <alignment horizontal="right" vertical="top"/>
    </xf>
    <xf numFmtId="164" fontId="10" fillId="6" borderId="2" xfId="0" applyNumberFormat="1" applyFont="1" applyFill="1" applyBorder="1" applyAlignment="1">
      <alignment horizontal="right" vertical="top"/>
    </xf>
    <xf numFmtId="164" fontId="10" fillId="6" borderId="11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Alignment="1">
      <alignment horizontal="right"/>
    </xf>
    <xf numFmtId="4" fontId="8" fillId="2" borderId="0" xfId="0" applyNumberFormat="1" applyFont="1" applyFill="1"/>
    <xf numFmtId="4" fontId="11" fillId="2" borderId="7" xfId="0" applyNumberFormat="1" applyFont="1" applyFill="1" applyBorder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9" fillId="3" borderId="8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3" fontId="6" fillId="2" borderId="13" xfId="0" quotePrefix="1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vertical="center"/>
    </xf>
    <xf numFmtId="4" fontId="6" fillId="2" borderId="13" xfId="0" applyNumberFormat="1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vertical="center"/>
    </xf>
    <xf numFmtId="4" fontId="6" fillId="2" borderId="12" xfId="0" applyNumberFormat="1" applyFont="1" applyFill="1" applyBorder="1" applyAlignment="1">
      <alignment vertical="center"/>
    </xf>
    <xf numFmtId="4" fontId="6" fillId="6" borderId="6" xfId="0" applyNumberFormat="1" applyFont="1" applyFill="1" applyBorder="1" applyAlignment="1">
      <alignment vertical="center"/>
    </xf>
    <xf numFmtId="4" fontId="11" fillId="6" borderId="5" xfId="0" applyNumberFormat="1" applyFont="1" applyFill="1" applyBorder="1" applyAlignment="1">
      <alignment vertical="center"/>
    </xf>
    <xf numFmtId="4" fontId="12" fillId="3" borderId="9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10" fontId="6" fillId="2" borderId="10" xfId="1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4" fontId="6" fillId="2" borderId="0" xfId="0" applyNumberFormat="1" applyFont="1" applyFill="1"/>
    <xf numFmtId="4" fontId="11" fillId="7" borderId="13" xfId="0" applyNumberFormat="1" applyFont="1" applyFill="1" applyBorder="1" applyAlignment="1">
      <alignment vertical="top"/>
    </xf>
    <xf numFmtId="4" fontId="6" fillId="2" borderId="13" xfId="0" applyNumberFormat="1" applyFont="1" applyFill="1" applyBorder="1" applyAlignment="1">
      <alignment horizontal="right" vertical="top"/>
    </xf>
    <xf numFmtId="4" fontId="13" fillId="0" borderId="16" xfId="0" applyNumberFormat="1" applyFont="1" applyFill="1" applyBorder="1" applyAlignment="1">
      <alignment vertical="top"/>
    </xf>
    <xf numFmtId="4" fontId="13" fillId="0" borderId="17" xfId="0" applyNumberFormat="1" applyFont="1" applyFill="1" applyBorder="1" applyAlignment="1">
      <alignment vertical="top"/>
    </xf>
    <xf numFmtId="4" fontId="6" fillId="2" borderId="12" xfId="0" applyNumberFormat="1" applyFont="1" applyFill="1" applyBorder="1" applyAlignment="1">
      <alignment horizontal="right" vertical="top"/>
    </xf>
    <xf numFmtId="4" fontId="6" fillId="0" borderId="5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/>
    <xf numFmtId="0" fontId="13" fillId="2" borderId="0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justify" vertical="top" wrapText="1"/>
    </xf>
    <xf numFmtId="0" fontId="6" fillId="2" borderId="0" xfId="0" applyFont="1" applyFill="1"/>
    <xf numFmtId="4" fontId="6" fillId="2" borderId="18" xfId="0" applyNumberFormat="1" applyFont="1" applyFill="1" applyBorder="1" applyAlignment="1">
      <alignment horizontal="right" vertical="top"/>
    </xf>
    <xf numFmtId="4" fontId="11" fillId="7" borderId="12" xfId="0" applyNumberFormat="1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right" vertical="top"/>
    </xf>
    <xf numFmtId="4" fontId="13" fillId="0" borderId="19" xfId="0" applyNumberFormat="1" applyFont="1" applyFill="1" applyBorder="1" applyAlignment="1">
      <alignment vertical="top"/>
    </xf>
    <xf numFmtId="4" fontId="10" fillId="0" borderId="20" xfId="0" applyNumberFormat="1" applyFont="1" applyFill="1" applyBorder="1" applyAlignment="1">
      <alignment vertical="top"/>
    </xf>
    <xf numFmtId="4" fontId="10" fillId="0" borderId="21" xfId="0" applyNumberFormat="1" applyFont="1" applyFill="1" applyBorder="1" applyAlignment="1">
      <alignment vertical="top"/>
    </xf>
    <xf numFmtId="4" fontId="10" fillId="0" borderId="22" xfId="0" applyNumberFormat="1" applyFont="1" applyFill="1" applyBorder="1" applyAlignment="1">
      <alignment vertical="top"/>
    </xf>
    <xf numFmtId="4" fontId="7" fillId="0" borderId="0" xfId="0" applyNumberFormat="1" applyFont="1" applyFill="1" applyAlignment="1">
      <alignment vertical="top"/>
    </xf>
    <xf numFmtId="4" fontId="10" fillId="6" borderId="5" xfId="0" applyNumberFormat="1" applyFont="1" applyFill="1" applyBorder="1" applyAlignment="1">
      <alignment horizontal="left" vertical="center"/>
    </xf>
    <xf numFmtId="4" fontId="13" fillId="6" borderId="5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top"/>
    </xf>
    <xf numFmtId="4" fontId="6" fillId="0" borderId="7" xfId="0" applyNumberFormat="1" applyFont="1" applyFill="1" applyBorder="1" applyAlignment="1">
      <alignment horizontal="right" vertical="top"/>
    </xf>
    <xf numFmtId="4" fontId="11" fillId="6" borderId="5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vertical="top"/>
    </xf>
    <xf numFmtId="4" fontId="9" fillId="3" borderId="8" xfId="0" applyNumberFormat="1" applyFont="1" applyFill="1" applyBorder="1" applyAlignment="1">
      <alignment horizontal="left" vertical="top"/>
    </xf>
    <xf numFmtId="10" fontId="6" fillId="2" borderId="0" xfId="1" applyNumberFormat="1" applyFont="1" applyFill="1"/>
    <xf numFmtId="4" fontId="6" fillId="2" borderId="0" xfId="0" applyNumberFormat="1" applyFont="1" applyFill="1" applyAlignment="1">
      <alignment horizontal="right" indent="1"/>
    </xf>
    <xf numFmtId="10" fontId="11" fillId="2" borderId="0" xfId="1" applyNumberFormat="1" applyFont="1" applyFill="1"/>
    <xf numFmtId="4" fontId="11" fillId="2" borderId="0" xfId="0" applyNumberFormat="1" applyFont="1" applyFill="1" applyBorder="1"/>
    <xf numFmtId="4" fontId="12" fillId="0" borderId="0" xfId="0" applyNumberFormat="1" applyFont="1" applyFill="1" applyBorder="1" applyAlignment="1">
      <alignment horizontal="left" vertical="top"/>
    </xf>
    <xf numFmtId="10" fontId="6" fillId="2" borderId="7" xfId="1" applyNumberFormat="1" applyFont="1" applyFill="1" applyBorder="1"/>
    <xf numFmtId="4" fontId="12" fillId="3" borderId="6" xfId="0" applyNumberFormat="1" applyFont="1" applyFill="1" applyBorder="1" applyAlignment="1">
      <alignment horizontal="left" vertical="center"/>
    </xf>
    <xf numFmtId="4" fontId="6" fillId="2" borderId="3" xfId="0" applyNumberFormat="1" applyFont="1" applyFill="1" applyBorder="1"/>
    <xf numFmtId="4" fontId="6" fillId="2" borderId="7" xfId="0" applyNumberFormat="1" applyFont="1" applyFill="1" applyBorder="1"/>
    <xf numFmtId="4" fontId="12" fillId="3" borderId="5" xfId="0" applyNumberFormat="1" applyFont="1" applyFill="1" applyBorder="1" applyAlignment="1">
      <alignment horizontal="left" vertical="center"/>
    </xf>
    <xf numFmtId="4" fontId="6" fillId="2" borderId="5" xfId="0" applyNumberFormat="1" applyFont="1" applyFill="1" applyBorder="1" applyAlignment="1">
      <alignment vertical="center"/>
    </xf>
    <xf numFmtId="4" fontId="11" fillId="6" borderId="3" xfId="0" applyNumberFormat="1" applyFont="1" applyFill="1" applyBorder="1"/>
    <xf numFmtId="4" fontId="6" fillId="2" borderId="0" xfId="0" applyNumberFormat="1" applyFont="1" applyFill="1" applyAlignment="1">
      <alignment horizontal="right"/>
    </xf>
    <xf numFmtId="4" fontId="6" fillId="2" borderId="1" xfId="0" applyNumberFormat="1" applyFont="1" applyFill="1" applyBorder="1"/>
    <xf numFmtId="4" fontId="6" fillId="2" borderId="4" xfId="0" applyNumberFormat="1" applyFont="1" applyFill="1" applyBorder="1"/>
    <xf numFmtId="10" fontId="6" fillId="2" borderId="9" xfId="1" applyNumberFormat="1" applyFont="1" applyFill="1" applyBorder="1"/>
    <xf numFmtId="10" fontId="6" fillId="2" borderId="10" xfId="1" applyNumberFormat="1" applyFont="1" applyFill="1" applyBorder="1"/>
    <xf numFmtId="4" fontId="6" fillId="2" borderId="10" xfId="0" applyNumberFormat="1" applyFont="1" applyFill="1" applyBorder="1"/>
    <xf numFmtId="4" fontId="6" fillId="2" borderId="11" xfId="0" applyNumberFormat="1" applyFont="1" applyFill="1" applyBorder="1"/>
    <xf numFmtId="4" fontId="6" fillId="7" borderId="8" xfId="0" applyNumberFormat="1" applyFont="1" applyFill="1" applyBorder="1"/>
    <xf numFmtId="4" fontId="6" fillId="7" borderId="1" xfId="0" applyNumberFormat="1" applyFont="1" applyFill="1" applyBorder="1"/>
    <xf numFmtId="4" fontId="6" fillId="7" borderId="4" xfId="0" applyNumberFormat="1" applyFont="1" applyFill="1" applyBorder="1"/>
    <xf numFmtId="10" fontId="6" fillId="2" borderId="14" xfId="1" applyNumberFormat="1" applyFont="1" applyFill="1" applyBorder="1"/>
    <xf numFmtId="10" fontId="6" fillId="2" borderId="12" xfId="1" applyNumberFormat="1" applyFont="1" applyFill="1" applyBorder="1"/>
    <xf numFmtId="4" fontId="6" fillId="2" borderId="0" xfId="0" applyNumberFormat="1" applyFont="1" applyFill="1" applyAlignment="1"/>
    <xf numFmtId="4" fontId="9" fillId="3" borderId="8" xfId="0" applyNumberFormat="1" applyFont="1" applyFill="1" applyBorder="1" applyAlignment="1">
      <alignment horizontal="left" vertical="center"/>
    </xf>
    <xf numFmtId="4" fontId="9" fillId="3" borderId="23" xfId="0" applyNumberFormat="1" applyFont="1" applyFill="1" applyBorder="1" applyAlignment="1">
      <alignment horizontal="right" vertical="center"/>
    </xf>
    <xf numFmtId="4" fontId="9" fillId="3" borderId="9" xfId="0" applyNumberFormat="1" applyFont="1" applyFill="1" applyBorder="1" applyAlignment="1">
      <alignment horizontal="right" vertical="center"/>
    </xf>
    <xf numFmtId="4" fontId="11" fillId="6" borderId="6" xfId="0" applyNumberFormat="1" applyFont="1" applyFill="1" applyBorder="1"/>
    <xf numFmtId="4" fontId="11" fillId="6" borderId="7" xfId="0" applyNumberFormat="1" applyFont="1" applyFill="1" applyBorder="1"/>
    <xf numFmtId="4" fontId="9" fillId="3" borderId="23" xfId="0" applyNumberFormat="1" applyFont="1" applyFill="1" applyBorder="1" applyAlignment="1">
      <alignment horizontal="right" vertical="top"/>
    </xf>
    <xf numFmtId="4" fontId="9" fillId="3" borderId="9" xfId="0" applyNumberFormat="1" applyFont="1" applyFill="1" applyBorder="1" applyAlignment="1">
      <alignment horizontal="right" vertical="top"/>
    </xf>
    <xf numFmtId="4" fontId="6" fillId="6" borderId="4" xfId="0" applyNumberFormat="1" applyFont="1" applyFill="1" applyBorder="1"/>
    <xf numFmtId="4" fontId="6" fillId="6" borderId="2" xfId="0" applyNumberFormat="1" applyFont="1" applyFill="1" applyBorder="1" applyAlignment="1">
      <alignment horizontal="right"/>
    </xf>
    <xf numFmtId="4" fontId="6" fillId="6" borderId="11" xfId="0" applyNumberFormat="1" applyFont="1" applyFill="1" applyBorder="1" applyAlignment="1">
      <alignment horizontal="right"/>
    </xf>
    <xf numFmtId="4" fontId="6" fillId="2" borderId="0" xfId="0" applyNumberFormat="1" applyFont="1" applyFill="1" applyAlignment="1">
      <alignment horizontal="center"/>
    </xf>
    <xf numFmtId="4" fontId="17" fillId="2" borderId="0" xfId="0" applyNumberFormat="1" applyFont="1" applyFill="1"/>
    <xf numFmtId="4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/>
    <xf numFmtId="4" fontId="6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Border="1" applyAlignment="1">
      <alignment horizontal="right"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/>
    <xf numFmtId="4" fontId="12" fillId="2" borderId="0" xfId="0" applyNumberFormat="1" applyFont="1" applyFill="1"/>
    <xf numFmtId="4" fontId="11" fillId="2" borderId="0" xfId="0" applyNumberFormat="1" applyFont="1" applyFill="1"/>
    <xf numFmtId="4" fontId="9" fillId="3" borderId="5" xfId="0" applyNumberFormat="1" applyFont="1" applyFill="1" applyBorder="1" applyAlignment="1">
      <alignment horizontal="left" vertical="center"/>
    </xf>
    <xf numFmtId="9" fontId="11" fillId="2" borderId="5" xfId="1" applyFont="1" applyFill="1" applyBorder="1" applyAlignment="1">
      <alignment horizontal="right" vertical="center"/>
    </xf>
    <xf numFmtId="4" fontId="9" fillId="3" borderId="6" xfId="0" applyNumberFormat="1" applyFont="1" applyFill="1" applyBorder="1" applyAlignment="1">
      <alignment horizontal="left" vertical="center"/>
    </xf>
    <xf numFmtId="4" fontId="10" fillId="2" borderId="7" xfId="0" applyNumberFormat="1" applyFont="1" applyFill="1" applyBorder="1" applyAlignment="1">
      <alignment vertical="center"/>
    </xf>
    <xf numFmtId="10" fontId="11" fillId="2" borderId="7" xfId="1" applyNumberFormat="1" applyFont="1" applyFill="1" applyBorder="1"/>
    <xf numFmtId="9" fontId="6" fillId="2" borderId="0" xfId="1" applyFont="1" applyFill="1"/>
    <xf numFmtId="0" fontId="11" fillId="2" borderId="0" xfId="0" applyFont="1" applyFill="1"/>
    <xf numFmtId="9" fontId="11" fillId="2" borderId="5" xfId="1" applyFont="1" applyFill="1" applyBorder="1" applyAlignment="1">
      <alignment horizontal="right" vertical="top"/>
    </xf>
    <xf numFmtId="0" fontId="0" fillId="2" borderId="0" xfId="0" applyFill="1" applyBorder="1"/>
    <xf numFmtId="4" fontId="6" fillId="6" borderId="6" xfId="0" applyNumberFormat="1" applyFont="1" applyFill="1" applyBorder="1"/>
    <xf numFmtId="10" fontId="6" fillId="6" borderId="7" xfId="1" applyNumberFormat="1" applyFont="1" applyFill="1" applyBorder="1"/>
    <xf numFmtId="4" fontId="9" fillId="3" borderId="8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/>
    </xf>
    <xf numFmtId="0" fontId="17" fillId="2" borderId="0" xfId="0" applyFont="1" applyFill="1"/>
    <xf numFmtId="0" fontId="16" fillId="2" borderId="0" xfId="0" applyFont="1" applyFill="1"/>
    <xf numFmtId="4" fontId="17" fillId="2" borderId="0" xfId="0" applyNumberFormat="1" applyFont="1" applyFill="1" applyAlignment="1"/>
    <xf numFmtId="9" fontId="17" fillId="2" borderId="0" xfId="0" applyNumberFormat="1" applyFont="1" applyFill="1"/>
    <xf numFmtId="0" fontId="6" fillId="2" borderId="1" xfId="0" applyFont="1" applyFill="1" applyBorder="1"/>
    <xf numFmtId="0" fontId="11" fillId="6" borderId="4" xfId="0" applyFont="1" applyFill="1" applyBorder="1"/>
    <xf numFmtId="4" fontId="11" fillId="6" borderId="2" xfId="0" applyNumberFormat="1" applyFont="1" applyFill="1" applyBorder="1"/>
    <xf numFmtId="4" fontId="11" fillId="6" borderId="11" xfId="0" applyNumberFormat="1" applyFont="1" applyFill="1" applyBorder="1"/>
    <xf numFmtId="0" fontId="6" fillId="2" borderId="0" xfId="0" applyFont="1" applyFill="1" applyBorder="1"/>
    <xf numFmtId="9" fontId="6" fillId="2" borderId="0" xfId="1" applyFont="1" applyFill="1" applyBorder="1" applyAlignment="1"/>
    <xf numFmtId="0" fontId="6" fillId="2" borderId="0" xfId="0" applyFont="1" applyFill="1" applyBorder="1" applyAlignment="1"/>
    <xf numFmtId="0" fontId="6" fillId="2" borderId="10" xfId="0" applyFont="1" applyFill="1" applyBorder="1"/>
    <xf numFmtId="0" fontId="6" fillId="2" borderId="4" xfId="0" applyFont="1" applyFill="1" applyBorder="1"/>
    <xf numFmtId="0" fontId="6" fillId="2" borderId="2" xfId="0" applyFont="1" applyFill="1" applyBorder="1"/>
    <xf numFmtId="4" fontId="6" fillId="2" borderId="2" xfId="0" applyNumberFormat="1" applyFont="1" applyFill="1" applyBorder="1" applyAlignment="1"/>
    <xf numFmtId="0" fontId="13" fillId="2" borderId="0" xfId="0" applyFont="1" applyFill="1" applyBorder="1"/>
    <xf numFmtId="9" fontId="13" fillId="2" borderId="0" xfId="0" applyNumberFormat="1" applyFont="1" applyFill="1" applyBorder="1"/>
    <xf numFmtId="4" fontId="11" fillId="8" borderId="3" xfId="0" applyNumberFormat="1" applyFont="1" applyFill="1" applyBorder="1"/>
    <xf numFmtId="4" fontId="11" fillId="2" borderId="7" xfId="0" applyNumberFormat="1" applyFont="1" applyFill="1" applyBorder="1"/>
    <xf numFmtId="9" fontId="6" fillId="2" borderId="0" xfId="0" applyNumberFormat="1" applyFont="1" applyFill="1" applyBorder="1"/>
    <xf numFmtId="0" fontId="11" fillId="6" borderId="6" xfId="0" applyFont="1" applyFill="1" applyBorder="1"/>
    <xf numFmtId="0" fontId="11" fillId="8" borderId="6" xfId="0" applyFont="1" applyFill="1" applyBorder="1"/>
    <xf numFmtId="4" fontId="11" fillId="8" borderId="7" xfId="0" applyNumberFormat="1" applyFont="1" applyFill="1" applyBorder="1"/>
    <xf numFmtId="4" fontId="9" fillId="3" borderId="23" xfId="0" applyNumberFormat="1" applyFont="1" applyFill="1" applyBorder="1" applyAlignment="1">
      <alignment vertical="center"/>
    </xf>
    <xf numFmtId="4" fontId="6" fillId="2" borderId="0" xfId="0" applyNumberFormat="1" applyFont="1" applyFill="1" applyAlignment="1">
      <alignment vertical="justify"/>
    </xf>
    <xf numFmtId="4" fontId="10" fillId="2" borderId="0" xfId="0" applyNumberFormat="1" applyFont="1" applyFill="1" applyAlignment="1">
      <alignment vertical="justify"/>
    </xf>
    <xf numFmtId="10" fontId="10" fillId="2" borderId="0" xfId="1" applyNumberFormat="1" applyFont="1" applyFill="1"/>
    <xf numFmtId="4" fontId="10" fillId="2" borderId="0" xfId="0" applyNumberFormat="1" applyFont="1" applyFill="1"/>
    <xf numFmtId="4" fontId="10" fillId="2" borderId="5" xfId="0" applyNumberFormat="1" applyFont="1" applyFill="1" applyBorder="1"/>
    <xf numFmtId="10" fontId="10" fillId="2" borderId="5" xfId="1" applyNumberFormat="1" applyFont="1" applyFill="1" applyBorder="1"/>
    <xf numFmtId="4" fontId="6" fillId="2" borderId="1" xfId="0" applyNumberFormat="1" applyFont="1" applyFill="1" applyBorder="1" applyAlignment="1">
      <alignment vertical="justify"/>
    </xf>
    <xf numFmtId="4" fontId="6" fillId="2" borderId="1" xfId="0" applyNumberFormat="1" applyFont="1" applyFill="1" applyBorder="1" applyAlignment="1">
      <alignment horizontal="left" vertical="justify"/>
    </xf>
    <xf numFmtId="4" fontId="6" fillId="2" borderId="1" xfId="0" applyNumberFormat="1" applyFont="1" applyFill="1" applyBorder="1" applyAlignment="1">
      <alignment vertical="top"/>
    </xf>
    <xf numFmtId="4" fontId="10" fillId="6" borderId="6" xfId="0" applyNumberFormat="1" applyFont="1" applyFill="1" applyBorder="1" applyAlignment="1">
      <alignment vertical="justify"/>
    </xf>
    <xf numFmtId="4" fontId="10" fillId="6" borderId="3" xfId="0" applyNumberFormat="1" applyFont="1" applyFill="1" applyBorder="1"/>
    <xf numFmtId="4" fontId="10" fillId="6" borderId="7" xfId="0" applyNumberFormat="1" applyFont="1" applyFill="1" applyBorder="1"/>
    <xf numFmtId="4" fontId="10" fillId="7" borderId="6" xfId="0" applyNumberFormat="1" applyFont="1" applyFill="1" applyBorder="1" applyAlignment="1">
      <alignment vertical="justify"/>
    </xf>
    <xf numFmtId="4" fontId="10" fillId="7" borderId="3" xfId="0" applyNumberFormat="1" applyFont="1" applyFill="1" applyBorder="1"/>
    <xf numFmtId="4" fontId="10" fillId="7" borderId="7" xfId="0" applyNumberFormat="1" applyFont="1" applyFill="1" applyBorder="1"/>
    <xf numFmtId="9" fontId="6" fillId="2" borderId="0" xfId="1" applyFont="1" applyFill="1" applyBorder="1"/>
    <xf numFmtId="4" fontId="6" fillId="2" borderId="2" xfId="0" applyNumberFormat="1" applyFont="1" applyFill="1" applyBorder="1"/>
    <xf numFmtId="4" fontId="9" fillId="3" borderId="1" xfId="0" applyNumberFormat="1" applyFont="1" applyFill="1" applyBorder="1" applyAlignment="1">
      <alignment horizontal="left" vertical="center"/>
    </xf>
    <xf numFmtId="4" fontId="9" fillId="3" borderId="0" xfId="0" applyNumberFormat="1" applyFont="1" applyFill="1" applyBorder="1" applyAlignment="1">
      <alignment horizontal="right"/>
    </xf>
    <xf numFmtId="4" fontId="9" fillId="3" borderId="10" xfId="0" applyNumberFormat="1" applyFont="1" applyFill="1" applyBorder="1" applyAlignment="1">
      <alignment horizontal="right"/>
    </xf>
    <xf numFmtId="4" fontId="9" fillId="3" borderId="9" xfId="0" applyNumberFormat="1" applyFont="1" applyFill="1" applyBorder="1" applyAlignment="1">
      <alignment vertical="center"/>
    </xf>
    <xf numFmtId="4" fontId="9" fillId="3" borderId="7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9" fontId="6" fillId="2" borderId="5" xfId="1" applyFont="1" applyFill="1" applyBorder="1"/>
    <xf numFmtId="4" fontId="9" fillId="3" borderId="23" xfId="0" applyNumberFormat="1" applyFont="1" applyFill="1" applyBorder="1" applyAlignment="1">
      <alignment horizontal="center" vertical="center"/>
    </xf>
    <xf numFmtId="4" fontId="6" fillId="3" borderId="8" xfId="0" applyNumberFormat="1" applyFont="1" applyFill="1" applyBorder="1" applyAlignment="1">
      <alignment vertical="justify"/>
    </xf>
    <xf numFmtId="4" fontId="6" fillId="3" borderId="9" xfId="0" applyNumberFormat="1" applyFont="1" applyFill="1" applyBorder="1"/>
    <xf numFmtId="10" fontId="6" fillId="2" borderId="0" xfId="0" applyNumberFormat="1" applyFont="1" applyFill="1" applyBorder="1"/>
    <xf numFmtId="10" fontId="6" fillId="2" borderId="10" xfId="0" applyNumberFormat="1" applyFont="1" applyFill="1" applyBorder="1"/>
    <xf numFmtId="4" fontId="10" fillId="6" borderId="4" xfId="0" applyNumberFormat="1" applyFont="1" applyFill="1" applyBorder="1" applyAlignment="1">
      <alignment vertical="justify"/>
    </xf>
    <xf numFmtId="4" fontId="10" fillId="6" borderId="2" xfId="0" applyNumberFormat="1" applyFont="1" applyFill="1" applyBorder="1"/>
    <xf numFmtId="10" fontId="10" fillId="6" borderId="11" xfId="1" applyNumberFormat="1" applyFont="1" applyFill="1" applyBorder="1"/>
    <xf numFmtId="4" fontId="10" fillId="7" borderId="5" xfId="0" applyNumberFormat="1" applyFont="1" applyFill="1" applyBorder="1"/>
    <xf numFmtId="4" fontId="6" fillId="6" borderId="2" xfId="0" applyNumberFormat="1" applyFont="1" applyFill="1" applyBorder="1"/>
    <xf numFmtId="4" fontId="6" fillId="6" borderId="11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/>
    <xf numFmtId="4" fontId="11" fillId="7" borderId="3" xfId="0" applyNumberFormat="1" applyFont="1" applyFill="1" applyBorder="1"/>
    <xf numFmtId="4" fontId="6" fillId="2" borderId="0" xfId="0" applyNumberFormat="1" applyFont="1" applyFill="1" applyBorder="1" applyAlignment="1">
      <alignment horizontal="center"/>
    </xf>
    <xf numFmtId="4" fontId="6" fillId="2" borderId="0" xfId="1" applyNumberFormat="1" applyFont="1" applyFill="1" applyBorder="1"/>
    <xf numFmtId="4" fontId="12" fillId="2" borderId="0" xfId="0" applyNumberFormat="1" applyFont="1" applyFill="1" applyBorder="1"/>
    <xf numFmtId="4" fontId="6" fillId="2" borderId="13" xfId="0" applyNumberFormat="1" applyFont="1" applyFill="1" applyBorder="1"/>
    <xf numFmtId="4" fontId="11" fillId="2" borderId="2" xfId="0" applyNumberFormat="1" applyFont="1" applyFill="1" applyBorder="1"/>
    <xf numFmtId="4" fontId="11" fillId="7" borderId="6" xfId="0" applyNumberFormat="1" applyFont="1" applyFill="1" applyBorder="1"/>
    <xf numFmtId="4" fontId="11" fillId="7" borderId="7" xfId="0" applyNumberFormat="1" applyFont="1" applyFill="1" applyBorder="1"/>
    <xf numFmtId="4" fontId="6" fillId="2" borderId="6" xfId="0" applyNumberFormat="1" applyFont="1" applyFill="1" applyBorder="1"/>
    <xf numFmtId="4" fontId="6" fillId="7" borderId="6" xfId="0" applyNumberFormat="1" applyFont="1" applyFill="1" applyBorder="1"/>
    <xf numFmtId="10" fontId="11" fillId="2" borderId="7" xfId="0" applyNumberFormat="1" applyFont="1" applyFill="1" applyBorder="1"/>
    <xf numFmtId="4" fontId="9" fillId="3" borderId="6" xfId="0" applyNumberFormat="1" applyFont="1" applyFill="1" applyBorder="1" applyAlignment="1">
      <alignment horizontal="center" vertical="center"/>
    </xf>
    <xf numFmtId="10" fontId="11" fillId="2" borderId="11" xfId="1" applyNumberFormat="1" applyFont="1" applyFill="1" applyBorder="1"/>
    <xf numFmtId="10" fontId="6" fillId="2" borderId="11" xfId="1" applyNumberFormat="1" applyFont="1" applyFill="1" applyBorder="1"/>
    <xf numFmtId="4" fontId="6" fillId="2" borderId="3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/>
    <xf numFmtId="4" fontId="6" fillId="7" borderId="13" xfId="0" applyNumberFormat="1" applyFont="1" applyFill="1" applyBorder="1"/>
    <xf numFmtId="4" fontId="6" fillId="7" borderId="12" xfId="0" applyNumberFormat="1" applyFont="1" applyFill="1" applyBorder="1"/>
    <xf numFmtId="9" fontId="10" fillId="2" borderId="0" xfId="1" applyFont="1" applyFill="1"/>
    <xf numFmtId="4" fontId="10" fillId="2" borderId="0" xfId="0" applyNumberFormat="1" applyFont="1" applyFill="1" applyAlignment="1">
      <alignment horizontal="center"/>
    </xf>
    <xf numFmtId="4" fontId="13" fillId="2" borderId="0" xfId="0" applyNumberFormat="1" applyFont="1" applyFill="1" applyBorder="1"/>
    <xf numFmtId="4" fontId="10" fillId="2" borderId="7" xfId="0" applyNumberFormat="1" applyFont="1" applyFill="1" applyBorder="1"/>
    <xf numFmtId="4" fontId="10" fillId="6" borderId="6" xfId="0" applyNumberFormat="1" applyFont="1" applyFill="1" applyBorder="1"/>
    <xf numFmtId="0" fontId="6" fillId="2" borderId="8" xfId="0" applyFont="1" applyFill="1" applyBorder="1"/>
    <xf numFmtId="9" fontId="6" fillId="2" borderId="9" xfId="0" applyNumberFormat="1" applyFont="1" applyFill="1" applyBorder="1"/>
    <xf numFmtId="9" fontId="6" fillId="2" borderId="10" xfId="0" applyNumberFormat="1" applyFont="1" applyFill="1" applyBorder="1"/>
    <xf numFmtId="4" fontId="11" fillId="5" borderId="4" xfId="0" applyNumberFormat="1" applyFont="1" applyFill="1" applyBorder="1" applyAlignment="1">
      <alignment horizontal="left" vertical="center"/>
    </xf>
    <xf numFmtId="9" fontId="6" fillId="2" borderId="2" xfId="1" applyFont="1" applyFill="1" applyBorder="1"/>
    <xf numFmtId="4" fontId="13" fillId="2" borderId="1" xfId="0" applyNumberFormat="1" applyFont="1" applyFill="1" applyBorder="1"/>
    <xf numFmtId="4" fontId="13" fillId="2" borderId="10" xfId="0" applyNumberFormat="1" applyFont="1" applyFill="1" applyBorder="1"/>
    <xf numFmtId="0" fontId="10" fillId="2" borderId="0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left" vertical="top"/>
    </xf>
    <xf numFmtId="4" fontId="6" fillId="2" borderId="1" xfId="0" applyNumberFormat="1" applyFont="1" applyFill="1" applyBorder="1" applyAlignment="1">
      <alignment horizontal="left" vertical="top"/>
    </xf>
    <xf numFmtId="4" fontId="6" fillId="2" borderId="4" xfId="0" applyNumberFormat="1" applyFont="1" applyFill="1" applyBorder="1" applyAlignment="1">
      <alignment horizontal="left" vertical="top"/>
    </xf>
    <xf numFmtId="4" fontId="6" fillId="2" borderId="9" xfId="0" applyNumberFormat="1" applyFont="1" applyFill="1" applyBorder="1" applyAlignment="1">
      <alignment horizontal="right" vertical="top"/>
    </xf>
    <xf numFmtId="4" fontId="6" fillId="2" borderId="10" xfId="0" applyNumberFormat="1" applyFont="1" applyFill="1" applyBorder="1" applyAlignment="1">
      <alignment horizontal="right" vertical="top"/>
    </xf>
    <xf numFmtId="9" fontId="6" fillId="2" borderId="11" xfId="1" applyFont="1" applyFill="1" applyBorder="1" applyAlignment="1">
      <alignment horizontal="right" vertical="top"/>
    </xf>
    <xf numFmtId="4" fontId="6" fillId="2" borderId="10" xfId="0" applyNumberFormat="1" applyFont="1" applyFill="1" applyBorder="1" applyAlignment="1">
      <alignment horizontal="right" vertical="center"/>
    </xf>
    <xf numFmtId="4" fontId="9" fillId="3" borderId="6" xfId="0" applyNumberFormat="1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vertical="center"/>
    </xf>
    <xf numFmtId="4" fontId="11" fillId="6" borderId="6" xfId="0" applyNumberFormat="1" applyFont="1" applyFill="1" applyBorder="1" applyAlignment="1">
      <alignment vertical="center"/>
    </xf>
    <xf numFmtId="4" fontId="11" fillId="6" borderId="3" xfId="0" applyNumberFormat="1" applyFont="1" applyFill="1" applyBorder="1" applyAlignment="1">
      <alignment vertical="center"/>
    </xf>
    <xf numFmtId="4" fontId="11" fillId="6" borderId="7" xfId="0" applyNumberFormat="1" applyFont="1" applyFill="1" applyBorder="1" applyAlignment="1">
      <alignment vertical="center"/>
    </xf>
    <xf numFmtId="4" fontId="11" fillId="6" borderId="6" xfId="0" applyNumberFormat="1" applyFont="1" applyFill="1" applyBorder="1" applyAlignment="1">
      <alignment vertical="justify"/>
    </xf>
    <xf numFmtId="4" fontId="6" fillId="6" borderId="3" xfId="0" applyNumberFormat="1" applyFont="1" applyFill="1" applyBorder="1"/>
    <xf numFmtId="10" fontId="10" fillId="6" borderId="7" xfId="1" applyNumberFormat="1" applyFont="1" applyFill="1" applyBorder="1"/>
    <xf numFmtId="4" fontId="11" fillId="5" borderId="2" xfId="0" applyNumberFormat="1" applyFont="1" applyFill="1" applyBorder="1" applyAlignment="1">
      <alignment horizontal="right" vertical="center"/>
    </xf>
    <xf numFmtId="4" fontId="11" fillId="5" borderId="11" xfId="0" applyNumberFormat="1" applyFont="1" applyFill="1" applyBorder="1" applyAlignment="1">
      <alignment horizontal="right" vertical="center"/>
    </xf>
    <xf numFmtId="0" fontId="10" fillId="6" borderId="5" xfId="0" applyFont="1" applyFill="1" applyBorder="1"/>
    <xf numFmtId="4" fontId="11" fillId="6" borderId="3" xfId="0" applyNumberFormat="1" applyFont="1" applyFill="1" applyBorder="1" applyAlignment="1">
      <alignment horizontal="right" vertical="center"/>
    </xf>
    <xf numFmtId="4" fontId="11" fillId="6" borderId="7" xfId="0" applyNumberFormat="1" applyFont="1" applyFill="1" applyBorder="1" applyAlignment="1">
      <alignment horizontal="right" vertical="center"/>
    </xf>
    <xf numFmtId="4" fontId="12" fillId="3" borderId="5" xfId="0" applyNumberFormat="1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horizontal="left" vertical="center"/>
    </xf>
    <xf numFmtId="4" fontId="9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4" fontId="3" fillId="2" borderId="10" xfId="0" applyNumberFormat="1" applyFont="1" applyFill="1" applyBorder="1"/>
    <xf numFmtId="4" fontId="4" fillId="6" borderId="6" xfId="0" applyNumberFormat="1" applyFont="1" applyFill="1" applyBorder="1"/>
    <xf numFmtId="4" fontId="4" fillId="6" borderId="3" xfId="0" applyNumberFormat="1" applyFont="1" applyFill="1" applyBorder="1"/>
    <xf numFmtId="4" fontId="4" fillId="6" borderId="7" xfId="0" applyNumberFormat="1" applyFont="1" applyFill="1" applyBorder="1"/>
    <xf numFmtId="4" fontId="12" fillId="3" borderId="6" xfId="0" applyNumberFormat="1" applyFont="1" applyFill="1" applyBorder="1" applyAlignment="1">
      <alignment horizontal="left" vertical="top"/>
    </xf>
    <xf numFmtId="4" fontId="4" fillId="2" borderId="7" xfId="0" applyNumberFormat="1" applyFont="1" applyFill="1" applyBorder="1" applyAlignment="1">
      <alignment horizontal="left" vertical="top"/>
    </xf>
    <xf numFmtId="164" fontId="10" fillId="6" borderId="6" xfId="0" applyNumberFormat="1" applyFont="1" applyFill="1" applyBorder="1" applyAlignment="1">
      <alignment vertical="top"/>
    </xf>
    <xf numFmtId="164" fontId="10" fillId="6" borderId="3" xfId="0" applyNumberFormat="1" applyFont="1" applyFill="1" applyBorder="1" applyAlignment="1">
      <alignment vertical="top"/>
    </xf>
    <xf numFmtId="164" fontId="10" fillId="6" borderId="7" xfId="0" applyNumberFormat="1" applyFont="1" applyFill="1" applyBorder="1" applyAlignment="1">
      <alignment vertical="top"/>
    </xf>
    <xf numFmtId="4" fontId="9" fillId="3" borderId="6" xfId="0" applyNumberFormat="1" applyFont="1" applyFill="1" applyBorder="1" applyAlignment="1">
      <alignment horizontal="left" vertical="center"/>
    </xf>
    <xf numFmtId="4" fontId="6" fillId="2" borderId="6" xfId="0" applyNumberFormat="1" applyFont="1" applyFill="1" applyBorder="1" applyAlignment="1">
      <alignment vertical="top"/>
    </xf>
    <xf numFmtId="4" fontId="6" fillId="2" borderId="3" xfId="0" applyNumberFormat="1" applyFont="1" applyFill="1" applyBorder="1" applyAlignment="1">
      <alignment horizontal="center" vertical="top"/>
    </xf>
    <xf numFmtId="4" fontId="6" fillId="2" borderId="3" xfId="0" applyNumberFormat="1" applyFont="1" applyFill="1" applyBorder="1" applyAlignment="1">
      <alignment vertical="top"/>
    </xf>
    <xf numFmtId="4" fontId="11" fillId="2" borderId="7" xfId="0" applyNumberFormat="1" applyFont="1" applyFill="1" applyBorder="1" applyAlignment="1">
      <alignment vertical="top"/>
    </xf>
    <xf numFmtId="4" fontId="9" fillId="3" borderId="5" xfId="0" applyNumberFormat="1" applyFont="1" applyFill="1" applyBorder="1" applyAlignment="1">
      <alignment vertical="top"/>
    </xf>
    <xf numFmtId="4" fontId="9" fillId="3" borderId="8" xfId="0" applyNumberFormat="1" applyFont="1" applyFill="1" applyBorder="1" applyAlignment="1">
      <alignment vertical="top"/>
    </xf>
    <xf numFmtId="4" fontId="9" fillId="3" borderId="8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justify" vertical="center" wrapText="1"/>
    </xf>
    <xf numFmtId="0" fontId="10" fillId="6" borderId="2" xfId="0" applyFont="1" applyFill="1" applyBorder="1" applyAlignment="1">
      <alignment horizontal="right" vertical="center"/>
    </xf>
    <xf numFmtId="0" fontId="10" fillId="6" borderId="11" xfId="0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vertical="center"/>
    </xf>
    <xf numFmtId="4" fontId="13" fillId="2" borderId="10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/>
    </xf>
    <xf numFmtId="4" fontId="11" fillId="2" borderId="4" xfId="0" applyNumberFormat="1" applyFont="1" applyFill="1" applyBorder="1"/>
    <xf numFmtId="4" fontId="9" fillId="3" borderId="3" xfId="0" applyNumberFormat="1" applyFont="1" applyFill="1" applyBorder="1" applyAlignment="1">
      <alignment horizontal="right" vertical="center"/>
    </xf>
    <xf numFmtId="4" fontId="9" fillId="3" borderId="7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center"/>
    </xf>
    <xf numFmtId="9" fontId="6" fillId="2" borderId="10" xfId="1" applyFont="1" applyFill="1" applyBorder="1"/>
    <xf numFmtId="4" fontId="11" fillId="5" borderId="6" xfId="0" applyNumberFormat="1" applyFont="1" applyFill="1" applyBorder="1" applyAlignment="1">
      <alignment horizontal="left" vertical="center"/>
    </xf>
    <xf numFmtId="4" fontId="11" fillId="5" borderId="3" xfId="0" applyNumberFormat="1" applyFont="1" applyFill="1" applyBorder="1" applyAlignment="1">
      <alignment horizontal="right" vertical="center"/>
    </xf>
    <xf numFmtId="4" fontId="11" fillId="5" borderId="7" xfId="0" applyNumberFormat="1" applyFont="1" applyFill="1" applyBorder="1" applyAlignment="1">
      <alignment horizontal="right" vertical="center"/>
    </xf>
    <xf numFmtId="4" fontId="9" fillId="3" borderId="5" xfId="0" applyNumberFormat="1" applyFont="1" applyFill="1" applyBorder="1" applyAlignment="1">
      <alignment horizontal="right" vertical="top"/>
    </xf>
    <xf numFmtId="4" fontId="9" fillId="3" borderId="5" xfId="0" applyNumberFormat="1" applyFont="1" applyFill="1" applyBorder="1" applyAlignment="1">
      <alignment horizontal="center" vertical="top"/>
    </xf>
    <xf numFmtId="0" fontId="10" fillId="6" borderId="6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right" vertical="center"/>
    </xf>
    <xf numFmtId="0" fontId="11" fillId="6" borderId="7" xfId="0" applyFont="1" applyFill="1" applyBorder="1" applyAlignment="1">
      <alignment horizontal="right" vertical="center"/>
    </xf>
    <xf numFmtId="4" fontId="6" fillId="6" borderId="3" xfId="0" applyNumberFormat="1" applyFont="1" applyFill="1" applyBorder="1" applyAlignment="1">
      <alignment vertical="center"/>
    </xf>
    <xf numFmtId="4" fontId="6" fillId="6" borderId="7" xfId="0" applyNumberFormat="1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4" fontId="9" fillId="3" borderId="6" xfId="0" applyNumberFormat="1" applyFont="1" applyFill="1" applyBorder="1"/>
    <xf numFmtId="10" fontId="11" fillId="6" borderId="7" xfId="0" applyNumberFormat="1" applyFont="1" applyFill="1" applyBorder="1"/>
    <xf numFmtId="4" fontId="11" fillId="5" borderId="3" xfId="0" applyNumberFormat="1" applyFont="1" applyFill="1" applyBorder="1" applyAlignment="1">
      <alignment horizontal="left" vertical="center"/>
    </xf>
    <xf numFmtId="4" fontId="11" fillId="5" borderId="7" xfId="0" applyNumberFormat="1" applyFont="1" applyFill="1" applyBorder="1" applyAlignment="1">
      <alignment horizontal="left" vertical="center"/>
    </xf>
    <xf numFmtId="4" fontId="9" fillId="3" borderId="5" xfId="0" applyNumberFormat="1" applyFont="1" applyFill="1" applyBorder="1" applyAlignment="1">
      <alignment horizontal="right" vertical="center"/>
    </xf>
    <xf numFmtId="4" fontId="11" fillId="5" borderId="6" xfId="0" applyNumberFormat="1" applyFont="1" applyFill="1" applyBorder="1" applyAlignment="1">
      <alignment vertical="center"/>
    </xf>
    <xf numFmtId="4" fontId="10" fillId="5" borderId="3" xfId="0" applyNumberFormat="1" applyFont="1" applyFill="1" applyBorder="1" applyAlignment="1">
      <alignment horizontal="right" vertical="center"/>
    </xf>
    <xf numFmtId="4" fontId="10" fillId="5" borderId="7" xfId="0" applyNumberFormat="1" applyFont="1" applyFill="1" applyBorder="1" applyAlignment="1">
      <alignment horizontal="right" vertical="center"/>
    </xf>
    <xf numFmtId="4" fontId="12" fillId="3" borderId="6" xfId="0" applyNumberFormat="1" applyFont="1" applyFill="1" applyBorder="1"/>
    <xf numFmtId="4" fontId="9" fillId="3" borderId="3" xfId="0" applyNumberFormat="1" applyFont="1" applyFill="1" applyBorder="1" applyAlignment="1">
      <alignment horizontal="right"/>
    </xf>
    <xf numFmtId="4" fontId="9" fillId="3" borderId="7" xfId="0" applyNumberFormat="1" applyFont="1" applyFill="1" applyBorder="1" applyAlignment="1">
      <alignment horizontal="right"/>
    </xf>
    <xf numFmtId="4" fontId="6" fillId="7" borderId="5" xfId="0" applyNumberFormat="1" applyFont="1" applyFill="1" applyBorder="1"/>
    <xf numFmtId="4" fontId="9" fillId="3" borderId="6" xfId="0" applyNumberFormat="1" applyFont="1" applyFill="1" applyBorder="1" applyAlignment="1">
      <alignment horizontal="right"/>
    </xf>
    <xf numFmtId="4" fontId="4" fillId="6" borderId="4" xfId="0" applyNumberFormat="1" applyFont="1" applyFill="1" applyBorder="1"/>
    <xf numFmtId="4" fontId="4" fillId="6" borderId="11" xfId="0" applyNumberFormat="1" applyFont="1" applyFill="1" applyBorder="1"/>
    <xf numFmtId="0" fontId="11" fillId="2" borderId="8" xfId="0" applyFont="1" applyFill="1" applyBorder="1"/>
    <xf numFmtId="10" fontId="11" fillId="2" borderId="9" xfId="0" applyNumberFormat="1" applyFont="1" applyFill="1" applyBorder="1"/>
    <xf numFmtId="4" fontId="13" fillId="7" borderId="6" xfId="0" applyNumberFormat="1" applyFont="1" applyFill="1" applyBorder="1" applyAlignment="1">
      <alignment vertical="justify"/>
    </xf>
    <xf numFmtId="4" fontId="13" fillId="7" borderId="3" xfId="0" applyNumberFormat="1" applyFont="1" applyFill="1" applyBorder="1" applyAlignment="1">
      <alignment vertical="justify"/>
    </xf>
    <xf numFmtId="4" fontId="13" fillId="7" borderId="7" xfId="0" applyNumberFormat="1" applyFont="1" applyFill="1" applyBorder="1" applyAlignment="1">
      <alignment vertical="justify"/>
    </xf>
    <xf numFmtId="9" fontId="6" fillId="2" borderId="14" xfId="1" applyFont="1" applyFill="1" applyBorder="1"/>
    <xf numFmtId="9" fontId="6" fillId="2" borderId="13" xfId="1" applyFont="1" applyFill="1" applyBorder="1"/>
    <xf numFmtId="9" fontId="6" fillId="2" borderId="12" xfId="1" applyFont="1" applyFill="1" applyBorder="1"/>
    <xf numFmtId="4" fontId="9" fillId="3" borderId="6" xfId="0" applyNumberFormat="1" applyFont="1" applyFill="1" applyBorder="1" applyAlignment="1">
      <alignment horizontal="center" vertical="top"/>
    </xf>
    <xf numFmtId="4" fontId="9" fillId="3" borderId="3" xfId="0" applyNumberFormat="1" applyFont="1" applyFill="1" applyBorder="1" applyAlignment="1">
      <alignment horizontal="right" vertical="top"/>
    </xf>
    <xf numFmtId="4" fontId="9" fillId="3" borderId="7" xfId="0" applyNumberFormat="1" applyFont="1" applyFill="1" applyBorder="1" applyAlignment="1">
      <alignment horizontal="right" vertical="top"/>
    </xf>
    <xf numFmtId="4" fontId="10" fillId="2" borderId="0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left" vertical="center"/>
    </xf>
    <xf numFmtId="2" fontId="6" fillId="2" borderId="7" xfId="1" applyNumberFormat="1" applyFont="1" applyFill="1" applyBorder="1"/>
    <xf numFmtId="4" fontId="9" fillId="3" borderId="6" xfId="0" applyNumberFormat="1" applyFont="1" applyFill="1" applyBorder="1" applyAlignment="1">
      <alignment horizontal="left" vertical="center"/>
    </xf>
    <xf numFmtId="0" fontId="0" fillId="4" borderId="0" xfId="0" applyFill="1" applyBorder="1"/>
    <xf numFmtId="0" fontId="0" fillId="7" borderId="0" xfId="0" applyFont="1" applyFill="1" applyBorder="1"/>
    <xf numFmtId="0" fontId="8" fillId="4" borderId="0" xfId="0" applyFont="1" applyFill="1" applyBorder="1" applyAlignment="1">
      <alignment vertical="center"/>
    </xf>
    <xf numFmtId="0" fontId="22" fillId="4" borderId="0" xfId="0" applyFont="1" applyFill="1" applyBorder="1"/>
    <xf numFmtId="4" fontId="9" fillId="3" borderId="6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vertical="center"/>
    </xf>
    <xf numFmtId="4" fontId="11" fillId="2" borderId="7" xfId="1" applyNumberFormat="1" applyFont="1" applyFill="1" applyBorder="1" applyAlignment="1">
      <alignment horizontal="right"/>
    </xf>
    <xf numFmtId="10" fontId="6" fillId="2" borderId="13" xfId="1" applyNumberFormat="1" applyFont="1" applyFill="1" applyBorder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right"/>
    </xf>
    <xf numFmtId="0" fontId="6" fillId="0" borderId="0" xfId="0" applyFont="1" applyAlignment="1">
      <alignment horizontal="justify" vertical="center"/>
    </xf>
    <xf numFmtId="0" fontId="23" fillId="4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8" fillId="7" borderId="0" xfId="2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center" vertical="center"/>
    </xf>
    <xf numFmtId="0" fontId="21" fillId="7" borderId="0" xfId="2" applyFont="1" applyFill="1" applyBorder="1" applyAlignment="1">
      <alignment horizontal="left" vertical="center"/>
    </xf>
    <xf numFmtId="4" fontId="9" fillId="4" borderId="0" xfId="0" applyNumberFormat="1" applyFont="1" applyFill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9" fillId="3" borderId="23" xfId="0" applyNumberFormat="1" applyFont="1" applyFill="1" applyBorder="1" applyAlignment="1">
      <alignment horizontal="center" vertical="center"/>
    </xf>
    <xf numFmtId="4" fontId="9" fillId="3" borderId="9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10" fontId="6" fillId="2" borderId="0" xfId="1" applyNumberFormat="1" applyFont="1" applyFill="1" applyBorder="1" applyAlignment="1">
      <alignment horizontal="center"/>
    </xf>
    <xf numFmtId="10" fontId="6" fillId="2" borderId="10" xfId="1" applyNumberFormat="1" applyFont="1" applyFill="1" applyBorder="1" applyAlignment="1">
      <alignment horizontal="center"/>
    </xf>
    <xf numFmtId="9" fontId="6" fillId="2" borderId="0" xfId="1" applyFont="1" applyFill="1" applyBorder="1" applyAlignment="1">
      <alignment horizontal="center"/>
    </xf>
    <xf numFmtId="9" fontId="6" fillId="2" borderId="10" xfId="1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11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left" vertical="center"/>
    </xf>
    <xf numFmtId="4" fontId="9" fillId="3" borderId="3" xfId="0" applyNumberFormat="1" applyFont="1" applyFill="1" applyBorder="1" applyAlignment="1">
      <alignment horizontal="left" vertical="center"/>
    </xf>
    <xf numFmtId="4" fontId="9" fillId="3" borderId="7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/>
    </xf>
    <xf numFmtId="4" fontId="9" fillId="3" borderId="8" xfId="0" applyNumberFormat="1" applyFont="1" applyFill="1" applyBorder="1" applyAlignment="1">
      <alignment horizontal="left" vertical="center"/>
    </xf>
    <xf numFmtId="4" fontId="9" fillId="3" borderId="23" xfId="0" applyNumberFormat="1" applyFont="1" applyFill="1" applyBorder="1" applyAlignment="1">
      <alignment horizontal="left" vertical="center"/>
    </xf>
    <xf numFmtId="4" fontId="9" fillId="3" borderId="9" xfId="0" applyNumberFormat="1" applyFont="1" applyFill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7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#Inicio!A1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</xdr:colOff>
      <xdr:row>0</xdr:row>
      <xdr:rowOff>21518</xdr:rowOff>
    </xdr:from>
    <xdr:to>
      <xdr:col>3</xdr:col>
      <xdr:colOff>259080</xdr:colOff>
      <xdr:row>2</xdr:row>
      <xdr:rowOff>103631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BA9FBB3-F8FA-4487-BE87-BD6E98CB1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" y="21518"/>
          <a:ext cx="2057401" cy="5164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</xdr:colOff>
      <xdr:row>1</xdr:row>
      <xdr:rowOff>83820</xdr:rowOff>
    </xdr:from>
    <xdr:to>
      <xdr:col>8</xdr:col>
      <xdr:colOff>561975</xdr:colOff>
      <xdr:row>11</xdr:row>
      <xdr:rowOff>11430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B1AFDE1-028D-4F3E-B10D-298022AB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490" y="337820"/>
          <a:ext cx="5518785" cy="1578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217033</xdr:colOff>
      <xdr:row>2</xdr:row>
      <xdr:rowOff>67018</xdr:rowOff>
    </xdr:from>
    <xdr:to>
      <xdr:col>1</xdr:col>
      <xdr:colOff>422773</xdr:colOff>
      <xdr:row>4</xdr:row>
      <xdr:rowOff>7252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505D5B-DA5B-4897-8FD5-577F41AF7746}"/>
            </a:ext>
          </a:extLst>
        </xdr:cNvPr>
        <xdr:cNvSpPr/>
      </xdr:nvSpPr>
      <xdr:spPr>
        <a:xfrm>
          <a:off x="217033" y="480151"/>
          <a:ext cx="986101" cy="2707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64265</xdr:colOff>
      <xdr:row>0</xdr:row>
      <xdr:rowOff>0</xdr:rowOff>
    </xdr:from>
    <xdr:to>
      <xdr:col>2</xdr:col>
      <xdr:colOff>3881</xdr:colOff>
      <xdr:row>1</xdr:row>
      <xdr:rowOff>129271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35FEEF1-EA9D-4B33-9C03-D9109F89A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265" y="0"/>
          <a:ext cx="1500339" cy="3771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7620</xdr:rowOff>
    </xdr:from>
    <xdr:to>
      <xdr:col>1</xdr:col>
      <xdr:colOff>396240</xdr:colOff>
      <xdr:row>3</xdr:row>
      <xdr:rowOff>106680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60877C-7160-4124-9FAB-B0C2F7C99127}"/>
            </a:ext>
          </a:extLst>
        </xdr:cNvPr>
        <xdr:cNvSpPr/>
      </xdr:nvSpPr>
      <xdr:spPr>
        <a:xfrm>
          <a:off x="190500" y="43434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3</xdr:col>
      <xdr:colOff>3009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1A81DD7-D839-48ED-847D-2EA128BE5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0"/>
          <a:ext cx="1500339" cy="3771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173355</xdr:rowOff>
    </xdr:from>
    <xdr:ext cx="32063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BFCCEDA-5BE4-4B7C-9643-63D820C2F1FF}"/>
                </a:ext>
              </a:extLst>
            </xdr:cNvPr>
            <xdr:cNvSpPr txBox="1"/>
          </xdr:nvSpPr>
          <xdr:spPr>
            <a:xfrm>
              <a:off x="272416" y="424815"/>
              <a:ext cx="32063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BFCCEDA-5BE4-4B7C-9643-63D820C2F1FF}"/>
                </a:ext>
              </a:extLst>
            </xdr:cNvPr>
            <xdr:cNvSpPr txBox="1"/>
          </xdr:nvSpPr>
          <xdr:spPr>
            <a:xfrm>
              <a:off x="272416" y="424815"/>
              <a:ext cx="32063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2</xdr:row>
      <xdr:rowOff>241935</xdr:rowOff>
    </xdr:from>
    <xdr:ext cx="32063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704FD5A-E99D-4828-9C42-466E5DA14DD9}"/>
                </a:ext>
              </a:extLst>
            </xdr:cNvPr>
            <xdr:cNvSpPr txBox="1"/>
          </xdr:nvSpPr>
          <xdr:spPr>
            <a:xfrm>
              <a:off x="264796" y="668655"/>
              <a:ext cx="32063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704FD5A-E99D-4828-9C42-466E5DA14DD9}"/>
                </a:ext>
              </a:extLst>
            </xdr:cNvPr>
            <xdr:cNvSpPr txBox="1"/>
          </xdr:nvSpPr>
          <xdr:spPr>
            <a:xfrm>
              <a:off x="264796" y="668655"/>
              <a:ext cx="32063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198120</xdr:colOff>
      <xdr:row>2</xdr:row>
      <xdr:rowOff>7620</xdr:rowOff>
    </xdr:from>
    <xdr:to>
      <xdr:col>1</xdr:col>
      <xdr:colOff>396240</xdr:colOff>
      <xdr:row>3</xdr:row>
      <xdr:rowOff>60960</xdr:rowOff>
    </xdr:to>
    <xdr:sp macro="" textlink="">
      <xdr:nvSpPr>
        <xdr:cNvPr id="6" name="Rectángulo: esquinas redondeada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5BC609-EF3D-435F-A023-811A4020A7F2}"/>
            </a:ext>
          </a:extLst>
        </xdr:cNvPr>
        <xdr:cNvSpPr/>
      </xdr:nvSpPr>
      <xdr:spPr>
        <a:xfrm>
          <a:off x="198120" y="43434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83820</xdr:colOff>
      <xdr:row>0</xdr:row>
      <xdr:rowOff>0</xdr:rowOff>
    </xdr:from>
    <xdr:to>
      <xdr:col>1</xdr:col>
      <xdr:colOff>791679</xdr:colOff>
      <xdr:row>1</xdr:row>
      <xdr:rowOff>125691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F905E92-CEDD-4990-BC6E-6A2EC8062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" y="0"/>
          <a:ext cx="1500339" cy="3771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5717</xdr:colOff>
      <xdr:row>2</xdr:row>
      <xdr:rowOff>175616</xdr:rowOff>
    </xdr:from>
    <xdr:ext cx="32063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7AEDCB83-F547-4D76-BD93-5BFA168EDC06}"/>
                </a:ext>
              </a:extLst>
            </xdr:cNvPr>
            <xdr:cNvSpPr txBox="1"/>
          </xdr:nvSpPr>
          <xdr:spPr>
            <a:xfrm>
              <a:off x="1747431" y="602671"/>
              <a:ext cx="32063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7AEDCB83-F547-4D76-BD93-5BFA168EDC06}"/>
                </a:ext>
              </a:extLst>
            </xdr:cNvPr>
            <xdr:cNvSpPr txBox="1"/>
          </xdr:nvSpPr>
          <xdr:spPr>
            <a:xfrm>
              <a:off x="1747431" y="602671"/>
              <a:ext cx="32063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150809</xdr:colOff>
      <xdr:row>2</xdr:row>
      <xdr:rowOff>37347</xdr:rowOff>
    </xdr:from>
    <xdr:to>
      <xdr:col>1</xdr:col>
      <xdr:colOff>348929</xdr:colOff>
      <xdr:row>3</xdr:row>
      <xdr:rowOff>135570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C7C29-E12A-45F5-99D0-F7A5E65B20E5}"/>
            </a:ext>
          </a:extLst>
        </xdr:cNvPr>
        <xdr:cNvSpPr/>
      </xdr:nvSpPr>
      <xdr:spPr>
        <a:xfrm>
          <a:off x="150809" y="464402"/>
          <a:ext cx="993615" cy="274069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16747</xdr:rowOff>
    </xdr:from>
    <xdr:to>
      <xdr:col>1</xdr:col>
      <xdr:colOff>742944</xdr:colOff>
      <xdr:row>1</xdr:row>
      <xdr:rowOff>142689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8FAAD73-EBAC-4C64-88D5-BD5A9E361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6747"/>
          <a:ext cx="1497324" cy="37740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</xdr:row>
      <xdr:rowOff>137160</xdr:rowOff>
    </xdr:from>
    <xdr:to>
      <xdr:col>1</xdr:col>
      <xdr:colOff>373380</xdr:colOff>
      <xdr:row>3</xdr:row>
      <xdr:rowOff>68580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71E506-71DB-4B87-BFA7-9D513483ACBD}"/>
            </a:ext>
          </a:extLst>
        </xdr:cNvPr>
        <xdr:cNvSpPr/>
      </xdr:nvSpPr>
      <xdr:spPr>
        <a:xfrm>
          <a:off x="175260" y="38862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3009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3917AD9-B82B-458B-8841-D603BF3FD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676275</xdr:colOff>
      <xdr:row>6</xdr:row>
      <xdr:rowOff>0</xdr:rowOff>
    </xdr:from>
    <xdr:ext cx="32063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53207ABC-A495-4281-907A-1D179E5ECEAC}"/>
                </a:ext>
              </a:extLst>
            </xdr:cNvPr>
            <xdr:cNvSpPr txBox="1"/>
          </xdr:nvSpPr>
          <xdr:spPr>
            <a:xfrm>
              <a:off x="1438275" y="1095375"/>
              <a:ext cx="32063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53207ABC-A495-4281-907A-1D179E5ECEAC}"/>
                </a:ext>
              </a:extLst>
            </xdr:cNvPr>
            <xdr:cNvSpPr txBox="1"/>
          </xdr:nvSpPr>
          <xdr:spPr>
            <a:xfrm>
              <a:off x="1438275" y="1095375"/>
              <a:ext cx="32063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181096</xdr:colOff>
      <xdr:row>2</xdr:row>
      <xdr:rowOff>38426</xdr:rowOff>
    </xdr:from>
    <xdr:to>
      <xdr:col>1</xdr:col>
      <xdr:colOff>386836</xdr:colOff>
      <xdr:row>3</xdr:row>
      <xdr:rowOff>156293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081F7F-07FC-45DE-903D-321FC6A2CF49}"/>
            </a:ext>
          </a:extLst>
        </xdr:cNvPr>
        <xdr:cNvSpPr/>
      </xdr:nvSpPr>
      <xdr:spPr>
        <a:xfrm>
          <a:off x="181096" y="459958"/>
          <a:ext cx="992059" cy="288101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32425</xdr:colOff>
      <xdr:row>0</xdr:row>
      <xdr:rowOff>0</xdr:rowOff>
    </xdr:from>
    <xdr:to>
      <xdr:col>1</xdr:col>
      <xdr:colOff>746445</xdr:colOff>
      <xdr:row>1</xdr:row>
      <xdr:rowOff>125853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1D77C25-CD2D-4A52-BEBB-8CF88C76D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425" y="0"/>
          <a:ext cx="1500339" cy="37715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701041</xdr:colOff>
      <xdr:row>6</xdr:row>
      <xdr:rowOff>19050</xdr:rowOff>
    </xdr:from>
    <xdr:ext cx="32063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2EE0311-1792-4833-9248-72DA4660F386}"/>
                </a:ext>
              </a:extLst>
            </xdr:cNvPr>
            <xdr:cNvSpPr txBox="1"/>
          </xdr:nvSpPr>
          <xdr:spPr>
            <a:xfrm>
              <a:off x="1463041" y="1190625"/>
              <a:ext cx="32063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2EE0311-1792-4833-9248-72DA4660F386}"/>
                </a:ext>
              </a:extLst>
            </xdr:cNvPr>
            <xdr:cNvSpPr txBox="1"/>
          </xdr:nvSpPr>
          <xdr:spPr>
            <a:xfrm>
              <a:off x="1463041" y="1190625"/>
              <a:ext cx="32063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167239</xdr:colOff>
      <xdr:row>1</xdr:row>
      <xdr:rowOff>172453</xdr:rowOff>
    </xdr:from>
    <xdr:to>
      <xdr:col>1</xdr:col>
      <xdr:colOff>374438</xdr:colOff>
      <xdr:row>3</xdr:row>
      <xdr:rowOff>102414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579BF2-9ACB-4E53-A8D6-BE1D5534DE24}"/>
            </a:ext>
          </a:extLst>
        </xdr:cNvPr>
        <xdr:cNvSpPr/>
      </xdr:nvSpPr>
      <xdr:spPr>
        <a:xfrm>
          <a:off x="167239" y="421106"/>
          <a:ext cx="993262" cy="290908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24064</xdr:colOff>
      <xdr:row>0</xdr:row>
      <xdr:rowOff>0</xdr:rowOff>
    </xdr:from>
    <xdr:to>
      <xdr:col>1</xdr:col>
      <xdr:colOff>738340</xdr:colOff>
      <xdr:row>1</xdr:row>
      <xdr:rowOff>128498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ADAA729-2145-4D08-A01A-E6A9C6933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64" y="0"/>
          <a:ext cx="1500339" cy="37715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7620</xdr:rowOff>
    </xdr:from>
    <xdr:to>
      <xdr:col>1</xdr:col>
      <xdr:colOff>390079</xdr:colOff>
      <xdr:row>3</xdr:row>
      <xdr:rowOff>120461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9F0DA-84EF-4889-A36C-0A7FFEBDEE86}"/>
            </a:ext>
          </a:extLst>
        </xdr:cNvPr>
        <xdr:cNvSpPr/>
      </xdr:nvSpPr>
      <xdr:spPr>
        <a:xfrm>
          <a:off x="190500" y="434340"/>
          <a:ext cx="992059" cy="288101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68580</xdr:colOff>
      <xdr:row>0</xdr:row>
      <xdr:rowOff>15240</xdr:rowOff>
    </xdr:from>
    <xdr:to>
      <xdr:col>1</xdr:col>
      <xdr:colOff>776439</xdr:colOff>
      <xdr:row>1</xdr:row>
      <xdr:rowOff>140931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B5A2F42-B7AC-411E-88D7-8627CCC0E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15240"/>
          <a:ext cx="1500339" cy="37715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137160</xdr:rowOff>
    </xdr:from>
    <xdr:to>
      <xdr:col>1</xdr:col>
      <xdr:colOff>390079</xdr:colOff>
      <xdr:row>3</xdr:row>
      <xdr:rowOff>51881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2BFF6-B0C9-41A1-9D1C-24F77D072BB2}"/>
            </a:ext>
          </a:extLst>
        </xdr:cNvPr>
        <xdr:cNvSpPr/>
      </xdr:nvSpPr>
      <xdr:spPr>
        <a:xfrm>
          <a:off x="190500" y="388620"/>
          <a:ext cx="992059" cy="288101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68580</xdr:colOff>
      <xdr:row>0</xdr:row>
      <xdr:rowOff>0</xdr:rowOff>
    </xdr:from>
    <xdr:to>
      <xdr:col>1</xdr:col>
      <xdr:colOff>766914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565853F-95A5-4FC4-85D6-9A40EDDDF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0"/>
          <a:ext cx="1500339" cy="37715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203202</xdr:colOff>
      <xdr:row>2</xdr:row>
      <xdr:rowOff>8467</xdr:rowOff>
    </xdr:from>
    <xdr:to>
      <xdr:col>1</xdr:col>
      <xdr:colOff>399394</xdr:colOff>
      <xdr:row>3</xdr:row>
      <xdr:rowOff>84901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3B2407-FF1B-4A5A-8AB2-3113791DB645}"/>
            </a:ext>
          </a:extLst>
        </xdr:cNvPr>
        <xdr:cNvSpPr/>
      </xdr:nvSpPr>
      <xdr:spPr>
        <a:xfrm>
          <a:off x="203202" y="440267"/>
          <a:ext cx="992059" cy="288101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59267</xdr:colOff>
      <xdr:row>0</xdr:row>
      <xdr:rowOff>0</xdr:rowOff>
    </xdr:from>
    <xdr:to>
      <xdr:col>2</xdr:col>
      <xdr:colOff>27139</xdr:colOff>
      <xdr:row>1</xdr:row>
      <xdr:rowOff>123151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B077427-57AB-4EE7-BC7D-6D7DE4953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67" y="0"/>
          <a:ext cx="1500339" cy="377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230910</xdr:colOff>
      <xdr:row>2</xdr:row>
      <xdr:rowOff>115455</xdr:rowOff>
    </xdr:from>
    <xdr:to>
      <xdr:col>1</xdr:col>
      <xdr:colOff>436419</xdr:colOff>
      <xdr:row>4</xdr:row>
      <xdr:rowOff>51109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57DF01-EB58-41E0-8D60-AFBD7BDC9C40}"/>
            </a:ext>
          </a:extLst>
        </xdr:cNvPr>
        <xdr:cNvSpPr/>
      </xdr:nvSpPr>
      <xdr:spPr>
        <a:xfrm>
          <a:off x="230910" y="454122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107758</xdr:colOff>
      <xdr:row>0</xdr:row>
      <xdr:rowOff>7697</xdr:rowOff>
    </xdr:from>
    <xdr:to>
      <xdr:col>1</xdr:col>
      <xdr:colOff>746036</xdr:colOff>
      <xdr:row>2</xdr:row>
      <xdr:rowOff>46181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813510-2BDF-4BC5-8122-360173E93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758" y="7697"/>
          <a:ext cx="1500339" cy="37715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2</xdr:row>
      <xdr:rowOff>15241</xdr:rowOff>
    </xdr:from>
    <xdr:to>
      <xdr:col>1</xdr:col>
      <xdr:colOff>443419</xdr:colOff>
      <xdr:row>3</xdr:row>
      <xdr:rowOff>114301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7C80F2-E34D-4646-884B-B0C089617D81}"/>
            </a:ext>
          </a:extLst>
        </xdr:cNvPr>
        <xdr:cNvSpPr/>
      </xdr:nvSpPr>
      <xdr:spPr>
        <a:xfrm>
          <a:off x="236220" y="434341"/>
          <a:ext cx="992059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791679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5E35680-2449-44BC-84D8-0BDC676E7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0"/>
          <a:ext cx="1500339" cy="37715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2</xdr:row>
      <xdr:rowOff>7620</xdr:rowOff>
    </xdr:from>
    <xdr:to>
      <xdr:col>1</xdr:col>
      <xdr:colOff>412939</xdr:colOff>
      <xdr:row>3</xdr:row>
      <xdr:rowOff>114300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0CF47E-4E5D-46A6-8AB1-25528A13B242}"/>
            </a:ext>
          </a:extLst>
        </xdr:cNvPr>
        <xdr:cNvSpPr/>
      </xdr:nvSpPr>
      <xdr:spPr>
        <a:xfrm>
          <a:off x="213360" y="426720"/>
          <a:ext cx="992059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784059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DFAF234-AD43-49DA-B080-70EB2BD9D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0"/>
          <a:ext cx="1500339" cy="37715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1</xdr:row>
      <xdr:rowOff>160020</xdr:rowOff>
    </xdr:from>
    <xdr:to>
      <xdr:col>1</xdr:col>
      <xdr:colOff>312421</xdr:colOff>
      <xdr:row>3</xdr:row>
      <xdr:rowOff>83820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1DB0EE-7DBF-4F3D-B14E-DFA61FF4DDEA}"/>
            </a:ext>
          </a:extLst>
        </xdr:cNvPr>
        <xdr:cNvSpPr/>
      </xdr:nvSpPr>
      <xdr:spPr>
        <a:xfrm>
          <a:off x="266701" y="411480"/>
          <a:ext cx="83058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30480</xdr:colOff>
      <xdr:row>0</xdr:row>
      <xdr:rowOff>0</xdr:rowOff>
    </xdr:from>
    <xdr:to>
      <xdr:col>1</xdr:col>
      <xdr:colOff>745959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99B6D2E-4B3C-4989-91F3-E1DB3BD7D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" y="0"/>
          <a:ext cx="1500339" cy="3771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</xdr:row>
      <xdr:rowOff>76201</xdr:rowOff>
    </xdr:from>
    <xdr:to>
      <xdr:col>1</xdr:col>
      <xdr:colOff>335280</xdr:colOff>
      <xdr:row>4</xdr:row>
      <xdr:rowOff>15241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60E04-FF07-4305-BBEA-ABF1121B6057}"/>
            </a:ext>
          </a:extLst>
        </xdr:cNvPr>
        <xdr:cNvSpPr/>
      </xdr:nvSpPr>
      <xdr:spPr>
        <a:xfrm>
          <a:off x="129540" y="411481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761199</xdr:colOff>
      <xdr:row>2</xdr:row>
      <xdr:rowOff>49491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DFC1425-DC74-4911-A121-9DAE03EBB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" y="7620"/>
          <a:ext cx="1500339" cy="37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</xdr:row>
      <xdr:rowOff>60960</xdr:rowOff>
    </xdr:from>
    <xdr:to>
      <xdr:col>2</xdr:col>
      <xdr:colOff>38100</xdr:colOff>
      <xdr:row>3</xdr:row>
      <xdr:rowOff>152400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2D0AAE-DBF8-4818-850A-A0664E27F080}"/>
            </a:ext>
          </a:extLst>
        </xdr:cNvPr>
        <xdr:cNvSpPr/>
      </xdr:nvSpPr>
      <xdr:spPr>
        <a:xfrm>
          <a:off x="167640" y="42672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30480</xdr:colOff>
      <xdr:row>0</xdr:row>
      <xdr:rowOff>0</xdr:rowOff>
    </xdr:from>
    <xdr:to>
      <xdr:col>2</xdr:col>
      <xdr:colOff>410679</xdr:colOff>
      <xdr:row>2</xdr:row>
      <xdr:rowOff>11391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A5E8F3E-F937-4E48-A365-38040494D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" y="0"/>
          <a:ext cx="1500339" cy="377151"/>
        </a:xfrm>
        <a:prstGeom prst="rect">
          <a:avLst/>
        </a:prstGeom>
      </xdr:spPr>
    </xdr:pic>
    <xdr:clientData/>
  </xdr:twoCellAnchor>
  <xdr:twoCellAnchor>
    <xdr:from>
      <xdr:col>3</xdr:col>
      <xdr:colOff>304800</xdr:colOff>
      <xdr:row>10</xdr:row>
      <xdr:rowOff>85725</xdr:rowOff>
    </xdr:from>
    <xdr:to>
      <xdr:col>3</xdr:col>
      <xdr:colOff>3248025</xdr:colOff>
      <xdr:row>12</xdr:row>
      <xdr:rowOff>38100</xdr:rowOff>
    </xdr:to>
    <xdr:pic>
      <xdr:nvPicPr>
        <xdr:cNvPr id="6" name="Imagen 31">
          <a:extLst>
            <a:ext uri="{FF2B5EF4-FFF2-40B4-BE49-F238E27FC236}">
              <a16:creationId xmlns:a16="http://schemas.microsoft.com/office/drawing/2014/main" id="{21399E81-9D6D-48BD-9DB9-C21C05F7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019425"/>
          <a:ext cx="2943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219075</xdr:colOff>
      <xdr:row>14</xdr:row>
      <xdr:rowOff>142875</xdr:rowOff>
    </xdr:from>
    <xdr:to>
      <xdr:col>3</xdr:col>
      <xdr:colOff>3162300</xdr:colOff>
      <xdr:row>18</xdr:row>
      <xdr:rowOff>38100</xdr:rowOff>
    </xdr:to>
    <xdr:pic>
      <xdr:nvPicPr>
        <xdr:cNvPr id="8" name="Imagen 27">
          <a:extLst>
            <a:ext uri="{FF2B5EF4-FFF2-40B4-BE49-F238E27FC236}">
              <a16:creationId xmlns:a16="http://schemas.microsoft.com/office/drawing/2014/main" id="{B7D8B417-DB43-40F5-8FE9-284EC100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4029075"/>
          <a:ext cx="2943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85725</xdr:colOff>
      <xdr:row>20</xdr:row>
      <xdr:rowOff>114300</xdr:rowOff>
    </xdr:from>
    <xdr:to>
      <xdr:col>3</xdr:col>
      <xdr:colOff>3028950</xdr:colOff>
      <xdr:row>22</xdr:row>
      <xdr:rowOff>66675</xdr:rowOff>
    </xdr:to>
    <xdr:pic>
      <xdr:nvPicPr>
        <xdr:cNvPr id="9" name="Imagen 240">
          <a:extLst>
            <a:ext uri="{FF2B5EF4-FFF2-40B4-BE49-F238E27FC236}">
              <a16:creationId xmlns:a16="http://schemas.microsoft.com/office/drawing/2014/main" id="{62795F97-9571-41AB-BC06-5F6035FF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5143500"/>
          <a:ext cx="2943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76200</xdr:colOff>
      <xdr:row>24</xdr:row>
      <xdr:rowOff>171450</xdr:rowOff>
    </xdr:from>
    <xdr:to>
      <xdr:col>3</xdr:col>
      <xdr:colOff>3019425</xdr:colOff>
      <xdr:row>26</xdr:row>
      <xdr:rowOff>123825</xdr:rowOff>
    </xdr:to>
    <xdr:pic>
      <xdr:nvPicPr>
        <xdr:cNvPr id="10" name="Imagen 232">
          <a:extLst>
            <a:ext uri="{FF2B5EF4-FFF2-40B4-BE49-F238E27FC236}">
              <a16:creationId xmlns:a16="http://schemas.microsoft.com/office/drawing/2014/main" id="{E5D957A9-E99A-46E3-8E1B-A5E5856D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6153150"/>
          <a:ext cx="2943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2</xdr:row>
      <xdr:rowOff>68580</xdr:rowOff>
    </xdr:from>
    <xdr:to>
      <xdr:col>1</xdr:col>
      <xdr:colOff>419100</xdr:colOff>
      <xdr:row>3</xdr:row>
      <xdr:rowOff>152400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7F9F4-E368-44D2-9F6A-1608C39B25B5}"/>
            </a:ext>
          </a:extLst>
        </xdr:cNvPr>
        <xdr:cNvSpPr/>
      </xdr:nvSpPr>
      <xdr:spPr>
        <a:xfrm>
          <a:off x="213360" y="48768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99060</xdr:colOff>
      <xdr:row>0</xdr:row>
      <xdr:rowOff>0</xdr:rowOff>
    </xdr:from>
    <xdr:to>
      <xdr:col>2</xdr:col>
      <xdr:colOff>29679</xdr:colOff>
      <xdr:row>2</xdr:row>
      <xdr:rowOff>1866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FE680B-159D-4D02-BDE0-5592549F3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" y="0"/>
          <a:ext cx="1500339" cy="37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2</xdr:row>
      <xdr:rowOff>91440</xdr:rowOff>
    </xdr:from>
    <xdr:to>
      <xdr:col>2</xdr:col>
      <xdr:colOff>152400</xdr:colOff>
      <xdr:row>4</xdr:row>
      <xdr:rowOff>15240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603452-8B5B-47E8-A962-0EA1CCE6053A}"/>
            </a:ext>
          </a:extLst>
        </xdr:cNvPr>
        <xdr:cNvSpPr/>
      </xdr:nvSpPr>
      <xdr:spPr>
        <a:xfrm>
          <a:off x="182880" y="51816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45720</xdr:colOff>
      <xdr:row>0</xdr:row>
      <xdr:rowOff>0</xdr:rowOff>
    </xdr:from>
    <xdr:to>
      <xdr:col>2</xdr:col>
      <xdr:colOff>524979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BA6F768-62EE-427A-97E5-907961985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" y="0"/>
          <a:ext cx="1500339" cy="3771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2</xdr:row>
      <xdr:rowOff>99060</xdr:rowOff>
    </xdr:from>
    <xdr:to>
      <xdr:col>1</xdr:col>
      <xdr:colOff>365760</xdr:colOff>
      <xdr:row>3</xdr:row>
      <xdr:rowOff>182880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11B047-2407-433C-931E-0C97175DEDB1}"/>
            </a:ext>
          </a:extLst>
        </xdr:cNvPr>
        <xdr:cNvSpPr/>
      </xdr:nvSpPr>
      <xdr:spPr>
        <a:xfrm>
          <a:off x="160020" y="51816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22860</xdr:colOff>
      <xdr:row>0</xdr:row>
      <xdr:rowOff>0</xdr:rowOff>
    </xdr:from>
    <xdr:to>
      <xdr:col>1</xdr:col>
      <xdr:colOff>738339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750B939-0BFB-4C4F-A079-44394D1F4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" y="0"/>
          <a:ext cx="1500339" cy="3771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15240</xdr:rowOff>
    </xdr:from>
    <xdr:to>
      <xdr:col>1</xdr:col>
      <xdr:colOff>457200</xdr:colOff>
      <xdr:row>3</xdr:row>
      <xdr:rowOff>91440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0DDBE1-5664-4A7D-8CBB-1C1ECE8596C5}"/>
            </a:ext>
          </a:extLst>
        </xdr:cNvPr>
        <xdr:cNvSpPr/>
      </xdr:nvSpPr>
      <xdr:spPr>
        <a:xfrm>
          <a:off x="251460" y="43434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121920</xdr:colOff>
      <xdr:row>0</xdr:row>
      <xdr:rowOff>0</xdr:rowOff>
    </xdr:from>
    <xdr:to>
      <xdr:col>1</xdr:col>
      <xdr:colOff>837399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15A2799-C7CE-434D-97B6-A58B86D8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" y="0"/>
          <a:ext cx="1500339" cy="3771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2</xdr:row>
      <xdr:rowOff>38100</xdr:rowOff>
    </xdr:from>
    <xdr:to>
      <xdr:col>1</xdr:col>
      <xdr:colOff>365760</xdr:colOff>
      <xdr:row>4</xdr:row>
      <xdr:rowOff>83820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A7288E-7DCC-4658-BD5A-3FD8F958B392}"/>
            </a:ext>
          </a:extLst>
        </xdr:cNvPr>
        <xdr:cNvSpPr/>
      </xdr:nvSpPr>
      <xdr:spPr>
        <a:xfrm>
          <a:off x="160020" y="46482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715479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ECE7A91-913F-4AD7-AD0D-AB14603CC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VPN@25%25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hyperlink" Target="mailto:VPN@12%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VPN@5.67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I54"/>
  <sheetViews>
    <sheetView tabSelected="1" zoomScaleNormal="100" zoomScaleSheetLayoutView="90" workbookViewId="0"/>
  </sheetViews>
  <sheetFormatPr baseColWidth="10" defaultColWidth="11.5546875" defaultRowHeight="14.4" x14ac:dyDescent="0.3"/>
  <cols>
    <col min="1" max="1" width="11.5546875" style="137"/>
    <col min="2" max="2" width="14.6640625" style="137" customWidth="1"/>
    <col min="3" max="7" width="11.5546875" style="137"/>
    <col min="8" max="8" width="14.6640625" style="137" customWidth="1"/>
    <col min="9" max="16384" width="11.5546875" style="137"/>
  </cols>
  <sheetData>
    <row r="1" spans="2:9" x14ac:dyDescent="0.3">
      <c r="B1" s="333"/>
      <c r="C1" s="333"/>
      <c r="D1" s="333"/>
      <c r="E1" s="333"/>
      <c r="F1" s="333"/>
      <c r="G1" s="333"/>
      <c r="H1" s="333"/>
    </row>
    <row r="2" spans="2:9" ht="19.95" customHeight="1" x14ac:dyDescent="0.3">
      <c r="B2" s="333"/>
      <c r="C2" s="333"/>
      <c r="D2" s="333"/>
      <c r="E2" s="333"/>
      <c r="F2" s="333"/>
      <c r="G2" s="333"/>
      <c r="H2" s="333"/>
    </row>
    <row r="3" spans="2:9" ht="24" customHeight="1" x14ac:dyDescent="0.3">
      <c r="B3" s="333"/>
      <c r="C3" s="346" t="s">
        <v>346</v>
      </c>
      <c r="D3" s="347"/>
      <c r="E3" s="347"/>
      <c r="F3" s="347"/>
      <c r="G3" s="347"/>
      <c r="H3" s="333"/>
    </row>
    <row r="4" spans="2:9" ht="27" customHeight="1" x14ac:dyDescent="0.3">
      <c r="B4" s="349" t="s">
        <v>347</v>
      </c>
      <c r="C4" s="349"/>
      <c r="D4" s="349"/>
      <c r="E4" s="349"/>
      <c r="F4" s="349"/>
      <c r="G4" s="349"/>
      <c r="H4" s="349"/>
    </row>
    <row r="5" spans="2:9" ht="13.2" customHeight="1" x14ac:dyDescent="0.3">
      <c r="B5" s="348" t="s">
        <v>348</v>
      </c>
      <c r="C5" s="348"/>
      <c r="D5" s="348"/>
      <c r="E5" s="348"/>
      <c r="F5" s="348"/>
      <c r="G5" s="348"/>
      <c r="H5" s="348"/>
    </row>
    <row r="6" spans="2:9" ht="7.95" customHeight="1" x14ac:dyDescent="0.3">
      <c r="B6" s="348"/>
      <c r="C6" s="348"/>
      <c r="D6" s="348"/>
      <c r="E6" s="348"/>
      <c r="F6" s="348"/>
      <c r="G6" s="348"/>
      <c r="H6" s="348"/>
    </row>
    <row r="7" spans="2:9" ht="7.2" customHeight="1" x14ac:dyDescent="0.3">
      <c r="B7" s="334"/>
      <c r="C7" s="351" t="s">
        <v>349</v>
      </c>
      <c r="D7" s="351"/>
      <c r="E7" s="351"/>
      <c r="F7" s="351"/>
      <c r="G7" s="351"/>
      <c r="H7" s="334"/>
    </row>
    <row r="8" spans="2:9" ht="7.2" customHeight="1" x14ac:dyDescent="0.3">
      <c r="B8" s="334"/>
      <c r="C8" s="351"/>
      <c r="D8" s="351"/>
      <c r="E8" s="351"/>
      <c r="F8" s="351"/>
      <c r="G8" s="351"/>
      <c r="H8" s="334"/>
    </row>
    <row r="9" spans="2:9" ht="7.2" customHeight="1" x14ac:dyDescent="0.3">
      <c r="B9" s="334"/>
      <c r="C9" s="351"/>
      <c r="D9" s="351"/>
      <c r="E9" s="351"/>
      <c r="F9" s="351"/>
      <c r="G9" s="351"/>
      <c r="H9" s="334"/>
    </row>
    <row r="10" spans="2:9" ht="13.2" customHeight="1" x14ac:dyDescent="0.3">
      <c r="B10" s="333"/>
      <c r="C10" s="333"/>
      <c r="D10" s="333"/>
      <c r="E10" s="333"/>
      <c r="F10" s="333"/>
      <c r="G10" s="333"/>
      <c r="H10" s="333"/>
    </row>
    <row r="11" spans="2:9" x14ac:dyDescent="0.3">
      <c r="B11" s="333"/>
      <c r="C11" s="352" t="s">
        <v>313</v>
      </c>
      <c r="D11" s="352"/>
      <c r="E11" s="352"/>
      <c r="F11" s="352"/>
      <c r="G11" s="352"/>
      <c r="H11" s="333"/>
    </row>
    <row r="12" spans="2:9" ht="9" customHeight="1" x14ac:dyDescent="0.3">
      <c r="B12" s="333"/>
      <c r="C12" s="335"/>
      <c r="D12" s="335"/>
      <c r="E12" s="335"/>
      <c r="F12" s="335"/>
      <c r="G12" s="335"/>
      <c r="H12" s="333"/>
    </row>
    <row r="13" spans="2:9" x14ac:dyDescent="0.3">
      <c r="B13" s="333"/>
      <c r="C13" s="352" t="s">
        <v>314</v>
      </c>
      <c r="D13" s="352"/>
      <c r="E13" s="352"/>
      <c r="F13" s="352"/>
      <c r="G13" s="352"/>
      <c r="H13" s="333"/>
    </row>
    <row r="14" spans="2:9" ht="9" customHeight="1" x14ac:dyDescent="0.3">
      <c r="B14" s="333"/>
      <c r="C14" s="335"/>
      <c r="D14" s="335"/>
      <c r="E14" s="335"/>
      <c r="F14" s="335"/>
      <c r="G14" s="335"/>
      <c r="H14" s="333"/>
    </row>
    <row r="15" spans="2:9" x14ac:dyDescent="0.3">
      <c r="B15" s="333"/>
      <c r="C15" s="352" t="s">
        <v>315</v>
      </c>
      <c r="D15" s="352"/>
      <c r="E15" s="352"/>
      <c r="F15" s="352"/>
      <c r="G15" s="352"/>
      <c r="H15" s="333"/>
      <c r="I15" s="1"/>
    </row>
    <row r="16" spans="2:9" ht="9" customHeight="1" x14ac:dyDescent="0.3">
      <c r="B16" s="333"/>
      <c r="C16" s="335"/>
      <c r="D16" s="335"/>
      <c r="E16" s="335"/>
      <c r="F16" s="335"/>
      <c r="G16" s="335"/>
      <c r="H16" s="333"/>
    </row>
    <row r="17" spans="2:8" x14ac:dyDescent="0.3">
      <c r="B17" s="333"/>
      <c r="C17" s="350" t="s">
        <v>316</v>
      </c>
      <c r="D17" s="350"/>
      <c r="E17" s="350"/>
      <c r="F17" s="350"/>
      <c r="G17" s="350"/>
      <c r="H17" s="333"/>
    </row>
    <row r="18" spans="2:8" ht="9" customHeight="1" x14ac:dyDescent="0.3">
      <c r="B18" s="333"/>
      <c r="C18" s="335"/>
      <c r="D18" s="335"/>
      <c r="E18" s="335"/>
      <c r="F18" s="335"/>
      <c r="G18" s="335"/>
      <c r="H18" s="333"/>
    </row>
    <row r="19" spans="2:8" x14ac:dyDescent="0.3">
      <c r="B19" s="333"/>
      <c r="C19" s="350" t="s">
        <v>317</v>
      </c>
      <c r="D19" s="350"/>
      <c r="E19" s="350"/>
      <c r="F19" s="350"/>
      <c r="G19" s="350"/>
      <c r="H19" s="333"/>
    </row>
    <row r="20" spans="2:8" ht="9" customHeight="1" x14ac:dyDescent="0.3">
      <c r="B20" s="333"/>
      <c r="C20" s="335"/>
      <c r="D20" s="335"/>
      <c r="E20" s="335"/>
      <c r="F20" s="335"/>
      <c r="G20" s="335"/>
      <c r="H20" s="333"/>
    </row>
    <row r="21" spans="2:8" x14ac:dyDescent="0.3">
      <c r="B21" s="333"/>
      <c r="C21" s="350" t="s">
        <v>318</v>
      </c>
      <c r="D21" s="350"/>
      <c r="E21" s="350"/>
      <c r="F21" s="350"/>
      <c r="G21" s="350"/>
      <c r="H21" s="333"/>
    </row>
    <row r="22" spans="2:8" ht="9" customHeight="1" x14ac:dyDescent="0.3">
      <c r="B22" s="333"/>
      <c r="C22" s="335"/>
      <c r="D22" s="335"/>
      <c r="E22" s="335"/>
      <c r="F22" s="335"/>
      <c r="G22" s="335"/>
      <c r="H22" s="333"/>
    </row>
    <row r="23" spans="2:8" x14ac:dyDescent="0.3">
      <c r="B23" s="333"/>
      <c r="C23" s="350" t="s">
        <v>319</v>
      </c>
      <c r="D23" s="350"/>
      <c r="E23" s="350"/>
      <c r="F23" s="350"/>
      <c r="G23" s="350"/>
      <c r="H23" s="333"/>
    </row>
    <row r="24" spans="2:8" ht="9" customHeight="1" x14ac:dyDescent="0.3">
      <c r="B24" s="333"/>
      <c r="C24" s="335"/>
      <c r="D24" s="335"/>
      <c r="E24" s="335"/>
      <c r="F24" s="335"/>
      <c r="G24" s="335"/>
      <c r="H24" s="333"/>
    </row>
    <row r="25" spans="2:8" x14ac:dyDescent="0.3">
      <c r="B25" s="333"/>
      <c r="C25" s="350" t="s">
        <v>320</v>
      </c>
      <c r="D25" s="350"/>
      <c r="E25" s="350"/>
      <c r="F25" s="350"/>
      <c r="G25" s="350"/>
      <c r="H25" s="333"/>
    </row>
    <row r="26" spans="2:8" ht="9" customHeight="1" x14ac:dyDescent="0.3">
      <c r="B26" s="333"/>
      <c r="C26" s="335"/>
      <c r="D26" s="335"/>
      <c r="E26" s="335"/>
      <c r="F26" s="335"/>
      <c r="G26" s="335"/>
      <c r="H26" s="333"/>
    </row>
    <row r="27" spans="2:8" x14ac:dyDescent="0.3">
      <c r="B27" s="333"/>
      <c r="C27" s="350" t="s">
        <v>321</v>
      </c>
      <c r="D27" s="350"/>
      <c r="E27" s="350"/>
      <c r="F27" s="350"/>
      <c r="G27" s="350"/>
      <c r="H27" s="333"/>
    </row>
    <row r="28" spans="2:8" ht="9" customHeight="1" x14ac:dyDescent="0.3">
      <c r="B28" s="333"/>
      <c r="C28" s="335"/>
      <c r="D28" s="335"/>
      <c r="E28" s="335"/>
      <c r="F28" s="335"/>
      <c r="G28" s="335"/>
      <c r="H28" s="333"/>
    </row>
    <row r="29" spans="2:8" x14ac:dyDescent="0.3">
      <c r="B29" s="333"/>
      <c r="C29" s="350" t="s">
        <v>322</v>
      </c>
      <c r="D29" s="350"/>
      <c r="E29" s="350"/>
      <c r="F29" s="350"/>
      <c r="G29" s="350"/>
      <c r="H29" s="333"/>
    </row>
    <row r="30" spans="2:8" ht="9" customHeight="1" x14ac:dyDescent="0.3">
      <c r="B30" s="333"/>
      <c r="C30" s="335"/>
      <c r="D30" s="335"/>
      <c r="E30" s="335"/>
      <c r="F30" s="335"/>
      <c r="G30" s="335"/>
      <c r="H30" s="333"/>
    </row>
    <row r="31" spans="2:8" x14ac:dyDescent="0.3">
      <c r="B31" s="333"/>
      <c r="C31" s="350" t="s">
        <v>323</v>
      </c>
      <c r="D31" s="350"/>
      <c r="E31" s="350"/>
      <c r="F31" s="350"/>
      <c r="G31" s="350"/>
      <c r="H31" s="333"/>
    </row>
    <row r="32" spans="2:8" ht="9" customHeight="1" x14ac:dyDescent="0.3">
      <c r="B32" s="333"/>
      <c r="C32" s="335"/>
      <c r="D32" s="335"/>
      <c r="E32" s="335"/>
      <c r="F32" s="335"/>
      <c r="G32" s="335"/>
      <c r="H32" s="333"/>
    </row>
    <row r="33" spans="2:8" x14ac:dyDescent="0.3">
      <c r="B33" s="333"/>
      <c r="C33" s="350" t="s">
        <v>324</v>
      </c>
      <c r="D33" s="350"/>
      <c r="E33" s="350"/>
      <c r="F33" s="350"/>
      <c r="G33" s="350"/>
      <c r="H33" s="333"/>
    </row>
    <row r="34" spans="2:8" ht="9" customHeight="1" x14ac:dyDescent="0.3">
      <c r="B34" s="333"/>
      <c r="C34" s="335"/>
      <c r="D34" s="335"/>
      <c r="E34" s="335"/>
      <c r="F34" s="335"/>
      <c r="G34" s="335"/>
      <c r="H34" s="333"/>
    </row>
    <row r="35" spans="2:8" x14ac:dyDescent="0.3">
      <c r="B35" s="333"/>
      <c r="C35" s="350" t="s">
        <v>325</v>
      </c>
      <c r="D35" s="350"/>
      <c r="E35" s="350"/>
      <c r="F35" s="350"/>
      <c r="G35" s="350"/>
      <c r="H35" s="333"/>
    </row>
    <row r="36" spans="2:8" ht="9" customHeight="1" x14ac:dyDescent="0.3">
      <c r="B36" s="333"/>
      <c r="C36" s="335"/>
      <c r="D36" s="335"/>
      <c r="E36" s="335"/>
      <c r="F36" s="335"/>
      <c r="G36" s="335"/>
      <c r="H36" s="333"/>
    </row>
    <row r="37" spans="2:8" x14ac:dyDescent="0.3">
      <c r="B37" s="333"/>
      <c r="C37" s="350" t="s">
        <v>326</v>
      </c>
      <c r="D37" s="350"/>
      <c r="E37" s="350"/>
      <c r="F37" s="350"/>
      <c r="G37" s="350"/>
      <c r="H37" s="333"/>
    </row>
    <row r="38" spans="2:8" ht="9" customHeight="1" x14ac:dyDescent="0.3">
      <c r="B38" s="333"/>
      <c r="C38" s="335"/>
      <c r="D38" s="335"/>
      <c r="E38" s="335"/>
      <c r="F38" s="335"/>
      <c r="G38" s="335"/>
      <c r="H38" s="333"/>
    </row>
    <row r="39" spans="2:8" x14ac:dyDescent="0.3">
      <c r="B39" s="333"/>
      <c r="C39" s="350" t="s">
        <v>327</v>
      </c>
      <c r="D39" s="350"/>
      <c r="E39" s="350"/>
      <c r="F39" s="350"/>
      <c r="G39" s="350"/>
      <c r="H39" s="333"/>
    </row>
    <row r="40" spans="2:8" ht="9" customHeight="1" x14ac:dyDescent="0.3">
      <c r="B40" s="333"/>
      <c r="C40" s="335"/>
      <c r="D40" s="335"/>
      <c r="E40" s="335"/>
      <c r="F40" s="335"/>
      <c r="G40" s="335"/>
      <c r="H40" s="333"/>
    </row>
    <row r="41" spans="2:8" x14ac:dyDescent="0.3">
      <c r="B41" s="333"/>
      <c r="C41" s="350" t="s">
        <v>328</v>
      </c>
      <c r="D41" s="350"/>
      <c r="E41" s="350"/>
      <c r="F41" s="350"/>
      <c r="G41" s="350"/>
      <c r="H41" s="333"/>
    </row>
    <row r="42" spans="2:8" ht="9" customHeight="1" x14ac:dyDescent="0.3">
      <c r="B42" s="333"/>
      <c r="C42" s="335"/>
      <c r="D42" s="335"/>
      <c r="E42" s="335"/>
      <c r="F42" s="335"/>
      <c r="G42" s="335"/>
      <c r="H42" s="333"/>
    </row>
    <row r="43" spans="2:8" x14ac:dyDescent="0.3">
      <c r="B43" s="333"/>
      <c r="C43" s="350" t="s">
        <v>329</v>
      </c>
      <c r="D43" s="350"/>
      <c r="E43" s="350"/>
      <c r="F43" s="350"/>
      <c r="G43" s="350"/>
      <c r="H43" s="333"/>
    </row>
    <row r="44" spans="2:8" ht="9" customHeight="1" x14ac:dyDescent="0.3">
      <c r="B44" s="333"/>
      <c r="C44" s="335"/>
      <c r="D44" s="335"/>
      <c r="E44" s="335"/>
      <c r="F44" s="335"/>
      <c r="G44" s="335"/>
      <c r="H44" s="333"/>
    </row>
    <row r="45" spans="2:8" x14ac:dyDescent="0.3">
      <c r="B45" s="333"/>
      <c r="C45" s="350" t="s">
        <v>330</v>
      </c>
      <c r="D45" s="350"/>
      <c r="E45" s="350"/>
      <c r="F45" s="350"/>
      <c r="G45" s="350"/>
      <c r="H45" s="333"/>
    </row>
    <row r="46" spans="2:8" ht="9" customHeight="1" x14ac:dyDescent="0.3">
      <c r="B46" s="333"/>
      <c r="C46" s="335"/>
      <c r="D46" s="335"/>
      <c r="E46" s="335"/>
      <c r="F46" s="335"/>
      <c r="G46" s="335"/>
      <c r="H46" s="333"/>
    </row>
    <row r="47" spans="2:8" x14ac:dyDescent="0.3">
      <c r="B47" s="333"/>
      <c r="C47" s="350" t="s">
        <v>331</v>
      </c>
      <c r="D47" s="350"/>
      <c r="E47" s="350"/>
      <c r="F47" s="350"/>
      <c r="G47" s="350"/>
      <c r="H47" s="333"/>
    </row>
    <row r="48" spans="2:8" ht="9" customHeight="1" x14ac:dyDescent="0.3">
      <c r="B48" s="333"/>
      <c r="C48" s="335"/>
      <c r="D48" s="335"/>
      <c r="E48" s="335"/>
      <c r="F48" s="335"/>
      <c r="G48" s="335"/>
      <c r="H48" s="333"/>
    </row>
    <row r="49" spans="2:8" x14ac:dyDescent="0.3">
      <c r="B49" s="333"/>
      <c r="C49" s="350" t="s">
        <v>332</v>
      </c>
      <c r="D49" s="350"/>
      <c r="E49" s="350"/>
      <c r="F49" s="350"/>
      <c r="G49" s="350"/>
      <c r="H49" s="333"/>
    </row>
    <row r="50" spans="2:8" ht="9" customHeight="1" x14ac:dyDescent="0.3">
      <c r="B50" s="333"/>
      <c r="C50" s="335"/>
      <c r="D50" s="335"/>
      <c r="E50" s="335"/>
      <c r="F50" s="335"/>
      <c r="G50" s="335"/>
      <c r="H50" s="333"/>
    </row>
    <row r="51" spans="2:8" x14ac:dyDescent="0.3">
      <c r="B51" s="333"/>
      <c r="C51" s="350" t="s">
        <v>333</v>
      </c>
      <c r="D51" s="350"/>
      <c r="E51" s="350"/>
      <c r="F51" s="350"/>
      <c r="G51" s="350"/>
      <c r="H51" s="333"/>
    </row>
    <row r="52" spans="2:8" x14ac:dyDescent="0.3">
      <c r="B52" s="333"/>
      <c r="C52" s="336"/>
      <c r="D52" s="336"/>
      <c r="E52" s="336"/>
      <c r="F52" s="336"/>
      <c r="G52" s="336"/>
      <c r="H52" s="333"/>
    </row>
    <row r="53" spans="2:8" x14ac:dyDescent="0.3">
      <c r="B53" s="333"/>
      <c r="C53" s="333"/>
      <c r="D53" s="333"/>
      <c r="E53" s="333"/>
      <c r="F53" s="333"/>
      <c r="G53" s="333"/>
      <c r="H53" s="333"/>
    </row>
    <row r="54" spans="2:8" x14ac:dyDescent="0.3">
      <c r="B54" s="333"/>
      <c r="C54" s="333"/>
      <c r="D54" s="333"/>
      <c r="E54" s="333"/>
      <c r="F54" s="333"/>
      <c r="G54" s="333"/>
      <c r="H54" s="333"/>
    </row>
  </sheetData>
  <sheetProtection algorithmName="SHA-512" hashValue="ix362JbMABoDMgiN4BmPKUvc1MymKQwOdfWee3Nx0VsQ5Ff5PfbzMKjSeERrjX52pwTacIxPPMyaZDoPPniAMQ==" saltValue="YLemsJXMqmBsfUTPcIM4pA==" spinCount="100000" sheet="1" objects="1" scenarios="1"/>
  <mergeCells count="26">
    <mergeCell ref="C7:G9"/>
    <mergeCell ref="C11:G11"/>
    <mergeCell ref="C13:G13"/>
    <mergeCell ref="C15:G15"/>
    <mergeCell ref="C17:G17"/>
    <mergeCell ref="C45:G45"/>
    <mergeCell ref="C47:G47"/>
    <mergeCell ref="C49:G49"/>
    <mergeCell ref="C51:G51"/>
    <mergeCell ref="C41:G41"/>
    <mergeCell ref="C3:G3"/>
    <mergeCell ref="B6:H6"/>
    <mergeCell ref="B4:H4"/>
    <mergeCell ref="B5:H5"/>
    <mergeCell ref="C43:G43"/>
    <mergeCell ref="C21:G21"/>
    <mergeCell ref="C23:G23"/>
    <mergeCell ref="C25:G25"/>
    <mergeCell ref="C27:G27"/>
    <mergeCell ref="C29:G29"/>
    <mergeCell ref="C31:G31"/>
    <mergeCell ref="C33:G33"/>
    <mergeCell ref="C35:G35"/>
    <mergeCell ref="C37:G37"/>
    <mergeCell ref="C39:G39"/>
    <mergeCell ref="C19:G19"/>
  </mergeCells>
  <hyperlinks>
    <hyperlink ref="C11:G11" location="'Ejercicio 1'!A1" display="1. Conceptos básicos" xr:uid="{00000000-0004-0000-0000-000000000000}"/>
    <hyperlink ref="C13:G13" location="'Ejercicio 2'!A1" display="2. Identificación de flujos incrementales" xr:uid="{00000000-0004-0000-0000-000001000000}"/>
    <hyperlink ref="C15:G15" location="'Ejercicio 3'!A1" display="3. Flujo de caja perpetuo" xr:uid="{00000000-0004-0000-0000-000002000000}"/>
    <hyperlink ref="C17:G17" location="'Ejercicio 4'!A1" display="4. Determinación del capital de trabajo de la empresa XYZ" xr:uid="{00000000-0004-0000-0000-000003000000}"/>
    <hyperlink ref="C19:G19" location="'Ejercicio 5'!A1" display="5. El requerimiento de capital de trabajo de Galletera del Sur SA" xr:uid="{00000000-0004-0000-0000-000004000000}"/>
    <hyperlink ref="C21:G21" location="'Ejercicio 6'!A1" display="6. El capital de trabajo de una estación de servicios" xr:uid="{00000000-0004-0000-0000-000005000000}"/>
    <hyperlink ref="C23:G23" location="'Ejercicio 7'!A1" display="7. Las necesidades de capital de trabajo de Juegolandia SA" xr:uid="{00000000-0004-0000-0000-000006000000}"/>
    <hyperlink ref="C25:G25" location="'Ejercicio 8'!A1" display="8. El flujo de caja libre de un proyecto" xr:uid="{00000000-0004-0000-0000-000007000000}"/>
    <hyperlink ref="C27:G27" location="'Ejercicio 9'!A1" display="9. El proyecto de PF SAC" xr:uid="{00000000-0004-0000-0000-000008000000}"/>
    <hyperlink ref="C29:G29" location="'Ejercicio 10'!A1" display="10. El proyecto de un restaurante" xr:uid="{00000000-0004-0000-0000-000009000000}"/>
    <hyperlink ref="C31:G31" location="'Ejercicio 11'!A1" display="11. El proyecto de la planta de alimentos para cerdos" xr:uid="{00000000-0004-0000-0000-00000A000000}"/>
    <hyperlink ref="C33:G33" location="'Ejercicio 12'!A1" display="12. El proyecto de B&amp;F" xr:uid="{00000000-0004-0000-0000-00000B000000}"/>
    <hyperlink ref="C35:G35" location="'Ejercicio 13'!A1" display="13. El puesto de anticuchos de Juan Torres" xr:uid="{00000000-0004-0000-0000-00000C000000}"/>
    <hyperlink ref="C37:G37" location="'Ejercicio 14'!A1" display="14. El proyecto de sofás reclinables de Cojines del Perú SA" xr:uid="{00000000-0004-0000-0000-00000D000000}"/>
    <hyperlink ref="C39:G39" location="'Ejercicio 15'!A1" display="15. El proyecto de Sol y Sombra SA" xr:uid="{00000000-0004-0000-0000-00000E000000}"/>
    <hyperlink ref="C41:G41" location="'Ejercicio 16'!A1" display="16. La sustitución de maquinaria de Tornillera Industrial SA" xr:uid="{00000000-0004-0000-0000-00000F000000}"/>
    <hyperlink ref="C43:G43" location="'Ejercicio 17'!A1" display="17. La sustitución del vehículo de Notas SA" xr:uid="{00000000-0004-0000-0000-000010000000}"/>
    <hyperlink ref="C45:G45" location="'Ejercicio 18'!A1" display="18. La lancha de carga de Satco" xr:uid="{00000000-0004-0000-0000-000011000000}"/>
    <hyperlink ref="C47:G47" location="'Ejercicio 19'!A1" display="19. La evaluación incompleta de un proyecto de inversión (parte 1)" xr:uid="{00000000-0004-0000-0000-000012000000}"/>
    <hyperlink ref="C49:G49" location="'Ejercicio 20'!A1" display="20. El horno de Negocios SA" xr:uid="{00000000-0004-0000-0000-000013000000}"/>
    <hyperlink ref="C51:G51" location="'Ejercicio 21'!A1" display="21. La evaluación incompleta de un proyecto de inversión (parte 2)" xr:uid="{00000000-0004-0000-0000-000014000000}"/>
  </hyperlinks>
  <pageMargins left="0.7" right="0.7" top="0.75" bottom="0.75" header="0.3" footer="0.3"/>
  <pageSetup scale="82" fitToHeight="0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C1:P30"/>
  <sheetViews>
    <sheetView topLeftCell="C28" zoomScaleNormal="100" workbookViewId="0">
      <selection activeCell="E30" sqref="E30"/>
    </sheetView>
  </sheetViews>
  <sheetFormatPr baseColWidth="10" defaultColWidth="11.44140625" defaultRowHeight="13.2" x14ac:dyDescent="0.25"/>
  <cols>
    <col min="1" max="2" width="11.44140625" style="2"/>
    <col min="3" max="3" width="4.109375" style="2" customWidth="1"/>
    <col min="4" max="4" width="23.5546875" style="2" bestFit="1" customWidth="1"/>
    <col min="5" max="15" width="12.33203125" style="2" customWidth="1"/>
    <col min="16" max="16" width="9.88671875" style="2" bestFit="1" customWidth="1"/>
    <col min="17" max="16384" width="11.44140625" style="2"/>
  </cols>
  <sheetData>
    <row r="1" spans="3:16" s="56" customFormat="1" ht="19.95" customHeight="1" x14ac:dyDescent="0.25">
      <c r="D1" s="353" t="s">
        <v>302</v>
      </c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13" spans="3:16" ht="13.8" x14ac:dyDescent="0.25">
      <c r="C13" s="11"/>
      <c r="D13" s="270" t="s">
        <v>303</v>
      </c>
      <c r="E13" s="287" t="s">
        <v>1</v>
      </c>
      <c r="F13" s="287" t="s">
        <v>2</v>
      </c>
      <c r="G13" s="287" t="s">
        <v>13</v>
      </c>
      <c r="H13" s="287" t="s">
        <v>14</v>
      </c>
      <c r="I13" s="287" t="s">
        <v>15</v>
      </c>
      <c r="J13" s="287" t="s">
        <v>16</v>
      </c>
      <c r="K13" s="287" t="s">
        <v>17</v>
      </c>
      <c r="L13" s="287" t="s">
        <v>18</v>
      </c>
      <c r="M13" s="287" t="s">
        <v>19</v>
      </c>
      <c r="N13" s="287" t="s">
        <v>20</v>
      </c>
      <c r="O13" s="288" t="s">
        <v>21</v>
      </c>
      <c r="P13" s="329"/>
    </row>
    <row r="14" spans="3:16" ht="17.399999999999999" customHeight="1" x14ac:dyDescent="0.25">
      <c r="D14" s="50" t="s">
        <v>74</v>
      </c>
      <c r="E14" s="121"/>
      <c r="F14" s="122">
        <v>30000</v>
      </c>
      <c r="G14" s="122">
        <v>30000</v>
      </c>
      <c r="H14" s="122">
        <v>30000</v>
      </c>
      <c r="I14" s="122">
        <v>30000</v>
      </c>
      <c r="J14" s="122">
        <v>30000</v>
      </c>
      <c r="K14" s="122">
        <v>30000</v>
      </c>
      <c r="L14" s="122">
        <v>30000</v>
      </c>
      <c r="M14" s="122">
        <v>30000</v>
      </c>
      <c r="N14" s="122">
        <v>30000</v>
      </c>
      <c r="O14" s="242">
        <v>30000</v>
      </c>
      <c r="P14" s="63"/>
    </row>
    <row r="15" spans="3:16" ht="17.399999999999999" customHeight="1" x14ac:dyDescent="0.25">
      <c r="D15" s="50" t="s">
        <v>29</v>
      </c>
      <c r="E15" s="121"/>
      <c r="F15" s="122">
        <v>-18000</v>
      </c>
      <c r="G15" s="122">
        <v>-18000</v>
      </c>
      <c r="H15" s="122">
        <v>-18000</v>
      </c>
      <c r="I15" s="122">
        <v>-18000</v>
      </c>
      <c r="J15" s="122">
        <v>-18000</v>
      </c>
      <c r="K15" s="122">
        <v>-18000</v>
      </c>
      <c r="L15" s="122">
        <v>-18000</v>
      </c>
      <c r="M15" s="122">
        <v>-18000</v>
      </c>
      <c r="N15" s="122">
        <v>-18000</v>
      </c>
      <c r="O15" s="242">
        <v>-18000</v>
      </c>
      <c r="P15" s="63"/>
    </row>
    <row r="16" spans="3:16" ht="17.399999999999999" customHeight="1" x14ac:dyDescent="0.25">
      <c r="D16" s="245" t="s">
        <v>31</v>
      </c>
      <c r="E16" s="246"/>
      <c r="F16" s="254">
        <f>SUM(F14:F15)</f>
        <v>12000</v>
      </c>
      <c r="G16" s="254">
        <f t="shared" ref="G16:O16" si="0">SUM(G14:G15)</f>
        <v>12000</v>
      </c>
      <c r="H16" s="254">
        <f t="shared" si="0"/>
        <v>12000</v>
      </c>
      <c r="I16" s="254">
        <f t="shared" si="0"/>
        <v>12000</v>
      </c>
      <c r="J16" s="254">
        <f t="shared" si="0"/>
        <v>12000</v>
      </c>
      <c r="K16" s="254">
        <f t="shared" si="0"/>
        <v>12000</v>
      </c>
      <c r="L16" s="254">
        <f t="shared" si="0"/>
        <v>12000</v>
      </c>
      <c r="M16" s="254">
        <f t="shared" si="0"/>
        <v>12000</v>
      </c>
      <c r="N16" s="254">
        <f t="shared" si="0"/>
        <v>12000</v>
      </c>
      <c r="O16" s="255">
        <f t="shared" si="0"/>
        <v>12000</v>
      </c>
      <c r="P16" s="63"/>
    </row>
    <row r="17" spans="4:16" ht="17.399999999999999" customHeight="1" x14ac:dyDescent="0.25">
      <c r="D17" s="283" t="s">
        <v>32</v>
      </c>
      <c r="E17" s="121"/>
      <c r="F17" s="123">
        <v>-1000</v>
      </c>
      <c r="G17" s="123">
        <v>-1000</v>
      </c>
      <c r="H17" s="123">
        <v>-1000</v>
      </c>
      <c r="I17" s="123">
        <v>-1000</v>
      </c>
      <c r="J17" s="123">
        <v>-1000</v>
      </c>
      <c r="K17" s="123">
        <v>-1000</v>
      </c>
      <c r="L17" s="123">
        <v>-1000</v>
      </c>
      <c r="M17" s="123">
        <v>-1000</v>
      </c>
      <c r="N17" s="123">
        <v>-1000</v>
      </c>
      <c r="O17" s="284">
        <v>-1000</v>
      </c>
      <c r="P17" s="63"/>
    </row>
    <row r="18" spans="4:16" ht="17.399999999999999" customHeight="1" x14ac:dyDescent="0.25">
      <c r="D18" s="50" t="s">
        <v>30</v>
      </c>
      <c r="E18" s="121"/>
      <c r="F18" s="122">
        <v>-2500</v>
      </c>
      <c r="G18" s="122">
        <v>-2500</v>
      </c>
      <c r="H18" s="122">
        <v>-2500</v>
      </c>
      <c r="I18" s="122">
        <v>-2500</v>
      </c>
      <c r="J18" s="122">
        <v>-2500</v>
      </c>
      <c r="K18" s="122">
        <v>-2500</v>
      </c>
      <c r="L18" s="122">
        <v>-2500</v>
      </c>
      <c r="M18" s="122">
        <v>-2500</v>
      </c>
      <c r="N18" s="122">
        <v>-2500</v>
      </c>
      <c r="O18" s="242">
        <v>-2500</v>
      </c>
      <c r="P18" s="63"/>
    </row>
    <row r="19" spans="4:16" ht="17.399999999999999" customHeight="1" x14ac:dyDescent="0.25">
      <c r="D19" s="245" t="s">
        <v>33</v>
      </c>
      <c r="E19" s="246"/>
      <c r="F19" s="254">
        <f>SUM(F16:F18)</f>
        <v>8500</v>
      </c>
      <c r="G19" s="254">
        <f t="shared" ref="G19:O19" si="1">SUM(G16:G18)</f>
        <v>8500</v>
      </c>
      <c r="H19" s="254">
        <f t="shared" si="1"/>
        <v>8500</v>
      </c>
      <c r="I19" s="254">
        <f t="shared" si="1"/>
        <v>8500</v>
      </c>
      <c r="J19" s="254">
        <f t="shared" si="1"/>
        <v>8500</v>
      </c>
      <c r="K19" s="254">
        <f t="shared" si="1"/>
        <v>8500</v>
      </c>
      <c r="L19" s="254">
        <f t="shared" si="1"/>
        <v>8500</v>
      </c>
      <c r="M19" s="254">
        <f t="shared" si="1"/>
        <v>8500</v>
      </c>
      <c r="N19" s="254">
        <f t="shared" si="1"/>
        <v>8500</v>
      </c>
      <c r="O19" s="255">
        <f t="shared" si="1"/>
        <v>8500</v>
      </c>
      <c r="P19" s="63"/>
    </row>
    <row r="20" spans="4:16" ht="17.399999999999999" customHeight="1" x14ac:dyDescent="0.25">
      <c r="D20" s="50" t="s">
        <v>75</v>
      </c>
      <c r="E20" s="121"/>
      <c r="F20" s="122">
        <f>-F19*0.35</f>
        <v>-2975</v>
      </c>
      <c r="G20" s="122">
        <f t="shared" ref="G20:O20" si="2">-G19*0.35</f>
        <v>-2975</v>
      </c>
      <c r="H20" s="122">
        <f t="shared" si="2"/>
        <v>-2975</v>
      </c>
      <c r="I20" s="122">
        <f t="shared" si="2"/>
        <v>-2975</v>
      </c>
      <c r="J20" s="122">
        <f t="shared" si="2"/>
        <v>-2975</v>
      </c>
      <c r="K20" s="122">
        <f t="shared" si="2"/>
        <v>-2975</v>
      </c>
      <c r="L20" s="122">
        <f t="shared" si="2"/>
        <v>-2975</v>
      </c>
      <c r="M20" s="122">
        <f t="shared" si="2"/>
        <v>-2975</v>
      </c>
      <c r="N20" s="122">
        <f t="shared" si="2"/>
        <v>-2975</v>
      </c>
      <c r="O20" s="242">
        <f t="shared" si="2"/>
        <v>-2975</v>
      </c>
      <c r="P20" s="63"/>
    </row>
    <row r="21" spans="4:16" ht="17.399999999999999" customHeight="1" x14ac:dyDescent="0.25">
      <c r="D21" s="245" t="s">
        <v>39</v>
      </c>
      <c r="E21" s="246"/>
      <c r="F21" s="254">
        <f>SUM(F19:F20)</f>
        <v>5525</v>
      </c>
      <c r="G21" s="254">
        <f t="shared" ref="G21:O21" si="3">SUM(G19:G20)</f>
        <v>5525</v>
      </c>
      <c r="H21" s="254">
        <f t="shared" si="3"/>
        <v>5525</v>
      </c>
      <c r="I21" s="254">
        <f t="shared" si="3"/>
        <v>5525</v>
      </c>
      <c r="J21" s="254">
        <f t="shared" si="3"/>
        <v>5525</v>
      </c>
      <c r="K21" s="254">
        <f t="shared" si="3"/>
        <v>5525</v>
      </c>
      <c r="L21" s="254">
        <f t="shared" si="3"/>
        <v>5525</v>
      </c>
      <c r="M21" s="254">
        <f t="shared" si="3"/>
        <v>5525</v>
      </c>
      <c r="N21" s="254">
        <f t="shared" si="3"/>
        <v>5525</v>
      </c>
      <c r="O21" s="255">
        <f t="shared" si="3"/>
        <v>5525</v>
      </c>
      <c r="P21" s="85"/>
    </row>
    <row r="22" spans="4:16" ht="18" customHeight="1" x14ac:dyDescent="0.25"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4:16" ht="13.8" x14ac:dyDescent="0.25">
      <c r="D23" s="270" t="s">
        <v>0</v>
      </c>
      <c r="E23" s="287" t="s">
        <v>1</v>
      </c>
      <c r="F23" s="287" t="s">
        <v>2</v>
      </c>
      <c r="G23" s="287" t="s">
        <v>13</v>
      </c>
      <c r="H23" s="287" t="s">
        <v>14</v>
      </c>
      <c r="I23" s="287" t="s">
        <v>15</v>
      </c>
      <c r="J23" s="287" t="s">
        <v>16</v>
      </c>
      <c r="K23" s="287" t="s">
        <v>17</v>
      </c>
      <c r="L23" s="287" t="s">
        <v>18</v>
      </c>
      <c r="M23" s="287" t="s">
        <v>19</v>
      </c>
      <c r="N23" s="287" t="s">
        <v>20</v>
      </c>
      <c r="O23" s="287" t="s">
        <v>21</v>
      </c>
      <c r="P23" s="288" t="s">
        <v>73</v>
      </c>
    </row>
    <row r="24" spans="4:16" ht="15.6" customHeight="1" x14ac:dyDescent="0.25">
      <c r="D24" s="50" t="s">
        <v>64</v>
      </c>
      <c r="E24" s="121"/>
      <c r="F24" s="121">
        <f>+F21</f>
        <v>5525</v>
      </c>
      <c r="G24" s="121">
        <f t="shared" ref="G24:O24" si="4">+G21</f>
        <v>5525</v>
      </c>
      <c r="H24" s="121">
        <f t="shared" si="4"/>
        <v>5525</v>
      </c>
      <c r="I24" s="121">
        <f t="shared" si="4"/>
        <v>5525</v>
      </c>
      <c r="J24" s="121">
        <f t="shared" si="4"/>
        <v>5525</v>
      </c>
      <c r="K24" s="121">
        <f t="shared" si="4"/>
        <v>5525</v>
      </c>
      <c r="L24" s="121">
        <f t="shared" si="4"/>
        <v>5525</v>
      </c>
      <c r="M24" s="121">
        <f t="shared" si="4"/>
        <v>5525</v>
      </c>
      <c r="N24" s="121">
        <f t="shared" si="4"/>
        <v>5525</v>
      </c>
      <c r="O24" s="121">
        <f t="shared" si="4"/>
        <v>5525</v>
      </c>
      <c r="P24" s="45"/>
    </row>
    <row r="25" spans="4:16" ht="15.6" customHeight="1" x14ac:dyDescent="0.25">
      <c r="D25" s="50" t="s">
        <v>65</v>
      </c>
      <c r="E25" s="121"/>
      <c r="F25" s="121">
        <f>-F18</f>
        <v>2500</v>
      </c>
      <c r="G25" s="121">
        <f t="shared" ref="G25:O25" si="5">-G18</f>
        <v>2500</v>
      </c>
      <c r="H25" s="121">
        <f t="shared" si="5"/>
        <v>2500</v>
      </c>
      <c r="I25" s="121">
        <f t="shared" si="5"/>
        <v>2500</v>
      </c>
      <c r="J25" s="121">
        <f t="shared" si="5"/>
        <v>2500</v>
      </c>
      <c r="K25" s="121">
        <f t="shared" si="5"/>
        <v>2500</v>
      </c>
      <c r="L25" s="121">
        <f t="shared" si="5"/>
        <v>2500</v>
      </c>
      <c r="M25" s="121">
        <f t="shared" si="5"/>
        <v>2500</v>
      </c>
      <c r="N25" s="121">
        <f t="shared" si="5"/>
        <v>2500</v>
      </c>
      <c r="O25" s="121">
        <f t="shared" si="5"/>
        <v>2500</v>
      </c>
      <c r="P25" s="45"/>
    </row>
    <row r="26" spans="4:16" ht="15.6" customHeight="1" x14ac:dyDescent="0.25">
      <c r="D26" s="50" t="s">
        <v>76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338">
        <f>-E29</f>
        <v>10000</v>
      </c>
    </row>
    <row r="27" spans="4:16" ht="15.6" customHeight="1" x14ac:dyDescent="0.25">
      <c r="D27" s="50" t="s">
        <v>5</v>
      </c>
      <c r="E27" s="121">
        <f>SUM(E28:E29)</f>
        <v>-35000</v>
      </c>
      <c r="F27" s="121">
        <f t="shared" ref="F27:O27" si="6">SUM(F28:F29)</f>
        <v>0</v>
      </c>
      <c r="G27" s="121">
        <f t="shared" si="6"/>
        <v>0</v>
      </c>
      <c r="H27" s="121">
        <f t="shared" si="6"/>
        <v>0</v>
      </c>
      <c r="I27" s="121">
        <f t="shared" si="6"/>
        <v>0</v>
      </c>
      <c r="J27" s="121">
        <f t="shared" si="6"/>
        <v>0</v>
      </c>
      <c r="K27" s="121">
        <f t="shared" si="6"/>
        <v>0</v>
      </c>
      <c r="L27" s="121">
        <f t="shared" si="6"/>
        <v>0</v>
      </c>
      <c r="M27" s="121">
        <f t="shared" si="6"/>
        <v>0</v>
      </c>
      <c r="N27" s="121">
        <f t="shared" si="6"/>
        <v>0</v>
      </c>
      <c r="O27" s="121">
        <f t="shared" si="6"/>
        <v>0</v>
      </c>
      <c r="P27" s="45"/>
    </row>
    <row r="28" spans="4:16" ht="15.6" customHeight="1" x14ac:dyDescent="0.25">
      <c r="D28" s="50" t="s">
        <v>3</v>
      </c>
      <c r="E28" s="121">
        <v>-25000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45"/>
    </row>
    <row r="29" spans="4:16" ht="15.6" customHeight="1" x14ac:dyDescent="0.25">
      <c r="D29" s="50" t="s">
        <v>6</v>
      </c>
      <c r="E29" s="121">
        <v>-10000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45"/>
    </row>
    <row r="30" spans="4:16" ht="13.8" x14ac:dyDescent="0.25">
      <c r="D30" s="245" t="s">
        <v>7</v>
      </c>
      <c r="E30" s="299">
        <f>+E27</f>
        <v>-35000</v>
      </c>
      <c r="F30" s="299">
        <f>SUM(F24:F27)</f>
        <v>8025</v>
      </c>
      <c r="G30" s="299">
        <f t="shared" ref="G30:P30" si="7">SUM(G24:G27)</f>
        <v>8025</v>
      </c>
      <c r="H30" s="299">
        <f t="shared" si="7"/>
        <v>8025</v>
      </c>
      <c r="I30" s="299">
        <f t="shared" si="7"/>
        <v>8025</v>
      </c>
      <c r="J30" s="299">
        <f t="shared" si="7"/>
        <v>8025</v>
      </c>
      <c r="K30" s="299">
        <f t="shared" si="7"/>
        <v>8025</v>
      </c>
      <c r="L30" s="299">
        <f t="shared" si="7"/>
        <v>8025</v>
      </c>
      <c r="M30" s="299">
        <f t="shared" si="7"/>
        <v>8025</v>
      </c>
      <c r="N30" s="299">
        <f t="shared" si="7"/>
        <v>8025</v>
      </c>
      <c r="O30" s="299">
        <f t="shared" si="7"/>
        <v>8025</v>
      </c>
      <c r="P30" s="300">
        <f t="shared" si="7"/>
        <v>10000</v>
      </c>
    </row>
  </sheetData>
  <sheetProtection algorithmName="SHA-512" hashValue="JsBzSSqllJyqnxC2/3rR3PD8krKbZHaBTxMhJXOvpNeU1nSLexAFYq63SQfvjjN8k1GJ8PPt9wkYNCz1wQeSMQ==" saltValue="qD0mh7USdWILwWi5ZsB+WQ==" spinCount="100000" sheet="1" objects="1" scenarios="1"/>
  <mergeCells count="1">
    <mergeCell ref="D1:P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C1:P49"/>
  <sheetViews>
    <sheetView topLeftCell="B1" zoomScaleNormal="100" workbookViewId="0">
      <selection activeCell="N42" sqref="N42"/>
    </sheetView>
  </sheetViews>
  <sheetFormatPr baseColWidth="10" defaultColWidth="11.44140625" defaultRowHeight="13.2" x14ac:dyDescent="0.25"/>
  <cols>
    <col min="1" max="1" width="11.44140625" style="2"/>
    <col min="2" max="2" width="7.6640625" style="2" customWidth="1"/>
    <col min="3" max="3" width="3.6640625" style="8" customWidth="1"/>
    <col min="4" max="4" width="22.88671875" style="2" customWidth="1"/>
    <col min="5" max="5" width="15.109375" style="2" bestFit="1" customWidth="1"/>
    <col min="6" max="9" width="12.33203125" style="2" bestFit="1" customWidth="1"/>
    <col min="10" max="10" width="12.33203125" style="2" customWidth="1"/>
    <col min="11" max="16384" width="11.44140625" style="2"/>
  </cols>
  <sheetData>
    <row r="1" spans="4:16" s="56" customFormat="1" ht="19.95" customHeight="1" x14ac:dyDescent="0.25">
      <c r="D1" s="353" t="s">
        <v>302</v>
      </c>
      <c r="E1" s="353"/>
      <c r="F1" s="353"/>
      <c r="G1" s="353"/>
      <c r="H1" s="353"/>
      <c r="I1" s="353"/>
      <c r="J1" s="353"/>
      <c r="K1" s="125"/>
      <c r="L1" s="125"/>
      <c r="M1" s="125"/>
      <c r="N1" s="125"/>
      <c r="O1" s="125"/>
      <c r="P1" s="125"/>
    </row>
    <row r="2" spans="4:16" s="56" customFormat="1" ht="13.95" customHeight="1" x14ac:dyDescent="0.25"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4:16" ht="13.8" x14ac:dyDescent="0.25">
      <c r="D3" s="257" t="s">
        <v>304</v>
      </c>
      <c r="E3" s="287" t="s">
        <v>1</v>
      </c>
      <c r="F3" s="287" t="s">
        <v>2</v>
      </c>
      <c r="G3" s="287" t="s">
        <v>13</v>
      </c>
      <c r="H3" s="287" t="s">
        <v>14</v>
      </c>
      <c r="I3" s="287" t="s">
        <v>15</v>
      </c>
      <c r="J3" s="288" t="s">
        <v>16</v>
      </c>
    </row>
    <row r="4" spans="4:16" ht="15.6" customHeight="1" x14ac:dyDescent="0.25">
      <c r="D4" s="95" t="s">
        <v>28</v>
      </c>
      <c r="E4" s="63"/>
      <c r="F4" s="119">
        <f>5000*360</f>
        <v>1800000</v>
      </c>
      <c r="G4" s="119">
        <f>5000*360</f>
        <v>1800000</v>
      </c>
      <c r="H4" s="119">
        <f>5000*360</f>
        <v>1800000</v>
      </c>
      <c r="I4" s="119">
        <f>5000*360</f>
        <v>1800000</v>
      </c>
      <c r="J4" s="285">
        <f>5000*360</f>
        <v>1800000</v>
      </c>
    </row>
    <row r="5" spans="4:16" ht="15.6" customHeight="1" x14ac:dyDescent="0.25">
      <c r="D5" s="95" t="s">
        <v>237</v>
      </c>
      <c r="E5" s="63"/>
      <c r="F5" s="119"/>
      <c r="G5" s="119"/>
      <c r="H5" s="119"/>
      <c r="I5" s="119"/>
      <c r="J5" s="285">
        <v>-250000</v>
      </c>
    </row>
    <row r="6" spans="4:16" ht="15.6" customHeight="1" x14ac:dyDescent="0.25">
      <c r="D6" s="95" t="s">
        <v>77</v>
      </c>
      <c r="E6" s="63"/>
      <c r="F6" s="119">
        <f>-30%*F4</f>
        <v>-540000</v>
      </c>
      <c r="G6" s="119">
        <f>-30%*G4</f>
        <v>-540000</v>
      </c>
      <c r="H6" s="119">
        <f>-30%*H4</f>
        <v>-540000</v>
      </c>
      <c r="I6" s="119">
        <f>-30%*I4</f>
        <v>-540000</v>
      </c>
      <c r="J6" s="285">
        <f>-30%*J4</f>
        <v>-540000</v>
      </c>
    </row>
    <row r="7" spans="4:16" ht="15.6" customHeight="1" x14ac:dyDescent="0.25">
      <c r="D7" s="95" t="s">
        <v>78</v>
      </c>
      <c r="E7" s="63"/>
      <c r="F7" s="119">
        <f>-3%*F4</f>
        <v>-54000</v>
      </c>
      <c r="G7" s="119">
        <f>-3%*G4</f>
        <v>-54000</v>
      </c>
      <c r="H7" s="119">
        <f>-3%*H4</f>
        <v>-54000</v>
      </c>
      <c r="I7" s="119">
        <f>-3%*I4</f>
        <v>-54000</v>
      </c>
      <c r="J7" s="285">
        <f>-3%*J4</f>
        <v>-54000</v>
      </c>
    </row>
    <row r="8" spans="4:16" ht="15.6" customHeight="1" x14ac:dyDescent="0.25">
      <c r="D8" s="95" t="s">
        <v>79</v>
      </c>
      <c r="E8" s="63"/>
      <c r="F8" s="119">
        <f>-20%*F4</f>
        <v>-360000</v>
      </c>
      <c r="G8" s="119">
        <f>-20%*G4</f>
        <v>-360000</v>
      </c>
      <c r="H8" s="119">
        <f>-20%*H4</f>
        <v>-360000</v>
      </c>
      <c r="I8" s="119">
        <f>-20%*I4</f>
        <v>-360000</v>
      </c>
      <c r="J8" s="285">
        <f>-20%*J4</f>
        <v>-360000</v>
      </c>
    </row>
    <row r="9" spans="4:16" ht="15.6" customHeight="1" x14ac:dyDescent="0.25">
      <c r="D9" s="95" t="s">
        <v>80</v>
      </c>
      <c r="E9" s="63"/>
      <c r="F9" s="119">
        <v>-120000</v>
      </c>
      <c r="G9" s="119">
        <v>-120000</v>
      </c>
      <c r="H9" s="119">
        <v>-120000</v>
      </c>
      <c r="I9" s="119">
        <v>-120000</v>
      </c>
      <c r="J9" s="285">
        <v>-120000</v>
      </c>
    </row>
    <row r="10" spans="4:16" ht="15.6" customHeight="1" x14ac:dyDescent="0.25">
      <c r="D10" s="95" t="s">
        <v>81</v>
      </c>
      <c r="E10" s="63"/>
      <c r="F10" s="119">
        <v>-360000</v>
      </c>
      <c r="G10" s="119">
        <v>-360000</v>
      </c>
      <c r="H10" s="119">
        <v>-360000</v>
      </c>
      <c r="I10" s="119">
        <v>-360000</v>
      </c>
      <c r="J10" s="285">
        <v>-360000</v>
      </c>
    </row>
    <row r="11" spans="4:16" ht="15.6" customHeight="1" x14ac:dyDescent="0.25">
      <c r="D11" s="95" t="s">
        <v>30</v>
      </c>
      <c r="E11" s="63"/>
      <c r="F11" s="119">
        <f>SUM(F12:F13)</f>
        <v>-200000</v>
      </c>
      <c r="G11" s="119">
        <f>SUM(G12:G13)</f>
        <v>-200000</v>
      </c>
      <c r="H11" s="119">
        <f>SUM(H12:H13)</f>
        <v>-200000</v>
      </c>
      <c r="I11" s="119">
        <f>SUM(I12:I13)</f>
        <v>-100000</v>
      </c>
      <c r="J11" s="285">
        <f>SUM(J12:J13)</f>
        <v>-100000</v>
      </c>
    </row>
    <row r="12" spans="4:16" ht="15.6" customHeight="1" x14ac:dyDescent="0.25">
      <c r="D12" s="95" t="s">
        <v>82</v>
      </c>
      <c r="E12" s="63"/>
      <c r="F12" s="119">
        <f>-500000*20%</f>
        <v>-100000</v>
      </c>
      <c r="G12" s="119">
        <f>-500000*20%</f>
        <v>-100000</v>
      </c>
      <c r="H12" s="119">
        <f>-500000*20%</f>
        <v>-100000</v>
      </c>
      <c r="I12" s="119">
        <f>-500000*20%</f>
        <v>-100000</v>
      </c>
      <c r="J12" s="285">
        <f>-500000*20%</f>
        <v>-100000</v>
      </c>
    </row>
    <row r="13" spans="4:16" ht="15.6" customHeight="1" x14ac:dyDescent="0.25">
      <c r="D13" s="95" t="s">
        <v>83</v>
      </c>
      <c r="E13" s="63"/>
      <c r="F13" s="119">
        <f>-300000/3</f>
        <v>-100000</v>
      </c>
      <c r="G13" s="119">
        <f>-300000/3</f>
        <v>-100000</v>
      </c>
      <c r="H13" s="119">
        <f>-300000/3</f>
        <v>-100000</v>
      </c>
      <c r="I13" s="119"/>
      <c r="J13" s="285"/>
    </row>
    <row r="14" spans="4:16" ht="15.6" customHeight="1" x14ac:dyDescent="0.25">
      <c r="D14" s="95" t="s">
        <v>84</v>
      </c>
      <c r="E14" s="63"/>
      <c r="F14" s="119">
        <f>-SUM(F4:F11)*30%</f>
        <v>-49800</v>
      </c>
      <c r="G14" s="119">
        <f t="shared" ref="G14:J14" si="0">-SUM(G4:G11)*30%</f>
        <v>-49800</v>
      </c>
      <c r="H14" s="119">
        <f t="shared" si="0"/>
        <v>-49800</v>
      </c>
      <c r="I14" s="119">
        <f t="shared" si="0"/>
        <v>-79800</v>
      </c>
      <c r="J14" s="285">
        <f t="shared" si="0"/>
        <v>-4800</v>
      </c>
    </row>
    <row r="15" spans="4:16" ht="15.6" customHeight="1" x14ac:dyDescent="0.25">
      <c r="D15" s="245" t="s">
        <v>39</v>
      </c>
      <c r="E15" s="246"/>
      <c r="F15" s="254">
        <f>SUM(F4:F11)+F14</f>
        <v>116200</v>
      </c>
      <c r="G15" s="254">
        <f>SUM(G4:G11)+G14</f>
        <v>116200</v>
      </c>
      <c r="H15" s="254">
        <f>SUM(H4:H11)+H14</f>
        <v>116200</v>
      </c>
      <c r="I15" s="254">
        <f>SUM(I4:I11)+I14</f>
        <v>186200</v>
      </c>
      <c r="J15" s="255">
        <f>SUM(J4:J11)+J14</f>
        <v>11200</v>
      </c>
    </row>
    <row r="16" spans="4:16" ht="13.8" x14ac:dyDescent="0.25">
      <c r="D16" s="56"/>
      <c r="E16" s="127"/>
      <c r="F16" s="127"/>
      <c r="G16" s="127"/>
      <c r="H16" s="127"/>
      <c r="I16" s="127"/>
      <c r="J16" s="127"/>
    </row>
    <row r="17" spans="4:10" ht="13.8" x14ac:dyDescent="0.25">
      <c r="D17" s="320" t="s">
        <v>289</v>
      </c>
      <c r="E17" s="321"/>
      <c r="F17" s="321">
        <f>SUM(F4:F10)</f>
        <v>366000</v>
      </c>
      <c r="G17" s="321">
        <f>SUM(G4:G10)</f>
        <v>366000</v>
      </c>
      <c r="H17" s="321">
        <f>SUM(H4:H10)</f>
        <v>366000</v>
      </c>
      <c r="I17" s="321">
        <f>SUM(I4:I10)</f>
        <v>366000</v>
      </c>
      <c r="J17" s="322">
        <f>SUM(J4:J10)</f>
        <v>116000</v>
      </c>
    </row>
    <row r="18" spans="4:10" ht="4.95" customHeight="1" x14ac:dyDescent="0.25">
      <c r="D18" s="56"/>
      <c r="E18" s="56"/>
      <c r="F18" s="56"/>
      <c r="G18" s="56"/>
      <c r="H18" s="56"/>
      <c r="I18" s="56"/>
      <c r="J18" s="56"/>
    </row>
    <row r="19" spans="4:10" ht="13.8" x14ac:dyDescent="0.25">
      <c r="D19" s="257" t="s">
        <v>0</v>
      </c>
      <c r="E19" s="287" t="s">
        <v>1</v>
      </c>
      <c r="F19" s="287" t="s">
        <v>2</v>
      </c>
      <c r="G19" s="287" t="s">
        <v>13</v>
      </c>
      <c r="H19" s="287" t="s">
        <v>14</v>
      </c>
      <c r="I19" s="287" t="s">
        <v>15</v>
      </c>
      <c r="J19" s="288" t="s">
        <v>16</v>
      </c>
    </row>
    <row r="20" spans="4:10" ht="15.6" customHeight="1" x14ac:dyDescent="0.25">
      <c r="D20" s="95" t="s">
        <v>186</v>
      </c>
      <c r="E20" s="63"/>
      <c r="F20" s="63">
        <f>+F17*(1-30%)</f>
        <v>256199.99999999997</v>
      </c>
      <c r="G20" s="63">
        <f>+G17*(1-30%)</f>
        <v>256199.99999999997</v>
      </c>
      <c r="H20" s="63">
        <f>+H17*(1-30%)</f>
        <v>256199.99999999997</v>
      </c>
      <c r="I20" s="63">
        <f>+I17*(1-30%)</f>
        <v>256199.99999999997</v>
      </c>
      <c r="J20" s="99">
        <f>+J17*(1-30%)</f>
        <v>81200</v>
      </c>
    </row>
    <row r="21" spans="4:10" ht="15.6" customHeight="1" x14ac:dyDescent="0.25">
      <c r="D21" s="95" t="s">
        <v>187</v>
      </c>
      <c r="E21" s="63"/>
      <c r="F21" s="63">
        <f>-F11*30%</f>
        <v>60000</v>
      </c>
      <c r="G21" s="63">
        <f>-G11*30%</f>
        <v>60000</v>
      </c>
      <c r="H21" s="63">
        <f>-H11*30%</f>
        <v>60000</v>
      </c>
      <c r="I21" s="63">
        <f>-I11*30%</f>
        <v>30000</v>
      </c>
      <c r="J21" s="99">
        <f>-J11*30%</f>
        <v>30000</v>
      </c>
    </row>
    <row r="22" spans="4:10" ht="15.6" customHeight="1" x14ac:dyDescent="0.25">
      <c r="D22" s="95" t="s">
        <v>188</v>
      </c>
      <c r="E22" s="63"/>
      <c r="F22" s="63"/>
      <c r="G22" s="63"/>
      <c r="H22" s="63"/>
      <c r="I22" s="63"/>
      <c r="J22" s="99">
        <v>90000</v>
      </c>
    </row>
    <row r="23" spans="4:10" ht="15.6" customHeight="1" x14ac:dyDescent="0.25">
      <c r="D23" s="95" t="s">
        <v>5</v>
      </c>
      <c r="E23" s="63">
        <f>SUM(E24:E25)</f>
        <v>-890000</v>
      </c>
      <c r="F23" s="63">
        <f>SUM(F24:F25)</f>
        <v>0</v>
      </c>
      <c r="G23" s="63">
        <f>SUM(G24:G25)</f>
        <v>0</v>
      </c>
      <c r="H23" s="63">
        <f>SUM(H24:H25)</f>
        <v>0</v>
      </c>
      <c r="I23" s="63">
        <f>SUM(I24:I25)</f>
        <v>0</v>
      </c>
      <c r="J23" s="99"/>
    </row>
    <row r="24" spans="4:10" ht="15.6" customHeight="1" x14ac:dyDescent="0.25">
      <c r="D24" s="95" t="s">
        <v>3</v>
      </c>
      <c r="E24" s="63">
        <v>-800000</v>
      </c>
      <c r="F24" s="63"/>
      <c r="G24" s="63"/>
      <c r="H24" s="63"/>
      <c r="I24" s="63"/>
      <c r="J24" s="99"/>
    </row>
    <row r="25" spans="4:10" ht="15.6" customHeight="1" x14ac:dyDescent="0.25">
      <c r="D25" s="95" t="s">
        <v>6</v>
      </c>
      <c r="E25" s="63">
        <v>-90000</v>
      </c>
      <c r="F25" s="63"/>
      <c r="G25" s="63"/>
      <c r="H25" s="63"/>
      <c r="I25" s="63"/>
      <c r="J25" s="99"/>
    </row>
    <row r="26" spans="4:10" ht="15.6" customHeight="1" x14ac:dyDescent="0.25">
      <c r="D26" s="245" t="s">
        <v>7</v>
      </c>
      <c r="E26" s="246">
        <f t="shared" ref="E26:J26" si="1">SUM(E19:E23)</f>
        <v>-890000</v>
      </c>
      <c r="F26" s="246">
        <f t="shared" si="1"/>
        <v>316200</v>
      </c>
      <c r="G26" s="246">
        <f t="shared" si="1"/>
        <v>316200</v>
      </c>
      <c r="H26" s="246">
        <f t="shared" si="1"/>
        <v>316200</v>
      </c>
      <c r="I26" s="246">
        <f t="shared" si="1"/>
        <v>286200</v>
      </c>
      <c r="J26" s="247">
        <f t="shared" si="1"/>
        <v>201200</v>
      </c>
    </row>
    <row r="27" spans="4:10" ht="13.8" x14ac:dyDescent="0.25">
      <c r="D27" s="56"/>
      <c r="E27" s="56"/>
      <c r="F27" s="56"/>
      <c r="G27" s="56"/>
      <c r="H27" s="56"/>
      <c r="I27" s="56"/>
      <c r="J27" s="56"/>
    </row>
    <row r="28" spans="4:10" ht="13.8" x14ac:dyDescent="0.25">
      <c r="D28" s="128" t="s">
        <v>292</v>
      </c>
      <c r="E28" s="56"/>
      <c r="F28" s="56"/>
      <c r="G28" s="56"/>
      <c r="H28" s="56"/>
      <c r="I28" s="56"/>
      <c r="J28" s="56"/>
    </row>
    <row r="29" spans="4:10" ht="13.8" x14ac:dyDescent="0.25">
      <c r="D29" s="56"/>
      <c r="E29" s="56"/>
      <c r="F29" s="56"/>
      <c r="G29" s="56"/>
      <c r="H29" s="56"/>
      <c r="I29" s="56"/>
      <c r="J29" s="56"/>
    </row>
    <row r="30" spans="4:10" ht="13.8" x14ac:dyDescent="0.25">
      <c r="D30" s="257" t="s">
        <v>85</v>
      </c>
      <c r="E30" s="287" t="s">
        <v>1</v>
      </c>
      <c r="F30" s="287" t="s">
        <v>2</v>
      </c>
      <c r="G30" s="287" t="s">
        <v>13</v>
      </c>
      <c r="H30" s="287" t="s">
        <v>14</v>
      </c>
      <c r="I30" s="287" t="s">
        <v>15</v>
      </c>
      <c r="J30" s="288" t="s">
        <v>16</v>
      </c>
    </row>
    <row r="31" spans="4:10" ht="15.6" customHeight="1" x14ac:dyDescent="0.25">
      <c r="D31" s="95" t="s">
        <v>64</v>
      </c>
      <c r="E31" s="63"/>
      <c r="F31" s="63">
        <f>+F15</f>
        <v>116200</v>
      </c>
      <c r="G31" s="63">
        <f>+G15</f>
        <v>116200</v>
      </c>
      <c r="H31" s="63">
        <f>+H15</f>
        <v>116200</v>
      </c>
      <c r="I31" s="63">
        <f>+I15</f>
        <v>186200</v>
      </c>
      <c r="J31" s="99">
        <f>+J15</f>
        <v>11200</v>
      </c>
    </row>
    <row r="32" spans="4:10" ht="15.6" customHeight="1" x14ac:dyDescent="0.25">
      <c r="D32" s="95" t="s">
        <v>65</v>
      </c>
      <c r="E32" s="63"/>
      <c r="F32" s="63">
        <f>-F11</f>
        <v>200000</v>
      </c>
      <c r="G32" s="63">
        <f>-G11</f>
        <v>200000</v>
      </c>
      <c r="H32" s="63">
        <f>-H11</f>
        <v>200000</v>
      </c>
      <c r="I32" s="63">
        <f>-I11</f>
        <v>100000</v>
      </c>
      <c r="J32" s="99">
        <f>-J11</f>
        <v>100000</v>
      </c>
    </row>
    <row r="33" spans="3:10" ht="15.6" customHeight="1" x14ac:dyDescent="0.25">
      <c r="D33" s="95" t="s">
        <v>86</v>
      </c>
      <c r="E33" s="63"/>
      <c r="F33" s="63"/>
      <c r="G33" s="63"/>
      <c r="H33" s="63"/>
      <c r="I33" s="63"/>
      <c r="J33" s="99">
        <f>-SUM(E37:I37)</f>
        <v>90000</v>
      </c>
    </row>
    <row r="34" spans="3:10" ht="15.6" customHeight="1" x14ac:dyDescent="0.25">
      <c r="D34" s="95" t="s">
        <v>87</v>
      </c>
      <c r="E34" s="63"/>
      <c r="F34" s="63"/>
      <c r="G34" s="63"/>
      <c r="H34" s="63"/>
      <c r="I34" s="63"/>
      <c r="J34" s="99">
        <v>0</v>
      </c>
    </row>
    <row r="35" spans="3:10" ht="15.6" customHeight="1" x14ac:dyDescent="0.25">
      <c r="D35" s="95" t="s">
        <v>5</v>
      </c>
      <c r="E35" s="63">
        <f>SUM(E36:E37)</f>
        <v>-890000</v>
      </c>
      <c r="F35" s="63">
        <f>SUM(F36:F37)</f>
        <v>0</v>
      </c>
      <c r="G35" s="63">
        <f>SUM(G36:G37)</f>
        <v>0</v>
      </c>
      <c r="H35" s="63">
        <f>SUM(H36:H37)</f>
        <v>0</v>
      </c>
      <c r="I35" s="63">
        <f>SUM(I36:I37)</f>
        <v>0</v>
      </c>
      <c r="J35" s="99"/>
    </row>
    <row r="36" spans="3:10" ht="15.6" customHeight="1" x14ac:dyDescent="0.25">
      <c r="D36" s="95" t="s">
        <v>3</v>
      </c>
      <c r="E36" s="63">
        <v>-800000</v>
      </c>
      <c r="F36" s="63"/>
      <c r="G36" s="63"/>
      <c r="H36" s="63"/>
      <c r="I36" s="63"/>
      <c r="J36" s="99"/>
    </row>
    <row r="37" spans="3:10" ht="15.6" customHeight="1" x14ac:dyDescent="0.25">
      <c r="D37" s="95" t="s">
        <v>6</v>
      </c>
      <c r="E37" s="63">
        <f>-(F4-E4)*5%</f>
        <v>-90000</v>
      </c>
      <c r="F37" s="63"/>
      <c r="G37" s="63"/>
      <c r="H37" s="63"/>
      <c r="I37" s="63"/>
      <c r="J37" s="99"/>
    </row>
    <row r="38" spans="3:10" ht="15.6" customHeight="1" x14ac:dyDescent="0.25">
      <c r="D38" s="245" t="s">
        <v>7</v>
      </c>
      <c r="E38" s="246">
        <f>SUM(E31:E35)</f>
        <v>-890000</v>
      </c>
      <c r="F38" s="246">
        <f t="shared" ref="F38:J38" si="2">SUM(F31:F35)</f>
        <v>316200</v>
      </c>
      <c r="G38" s="246">
        <f t="shared" si="2"/>
        <v>316200</v>
      </c>
      <c r="H38" s="246">
        <f t="shared" si="2"/>
        <v>316200</v>
      </c>
      <c r="I38" s="246">
        <f t="shared" si="2"/>
        <v>286200</v>
      </c>
      <c r="J38" s="247">
        <f t="shared" si="2"/>
        <v>201200</v>
      </c>
    </row>
    <row r="39" spans="3:10" ht="13.8" x14ac:dyDescent="0.25">
      <c r="D39" s="56"/>
      <c r="E39" s="56"/>
      <c r="F39" s="56"/>
      <c r="G39" s="56"/>
      <c r="H39" s="56"/>
      <c r="I39" s="56"/>
      <c r="J39" s="56"/>
    </row>
    <row r="40" spans="3:10" ht="13.8" x14ac:dyDescent="0.25">
      <c r="D40" s="56"/>
      <c r="E40" s="56"/>
      <c r="F40" s="56"/>
      <c r="G40" s="56"/>
      <c r="H40" s="56"/>
      <c r="I40" s="56"/>
      <c r="J40" s="56"/>
    </row>
    <row r="41" spans="3:10" ht="14.4" customHeight="1" x14ac:dyDescent="0.25">
      <c r="C41" s="126" t="s">
        <v>306</v>
      </c>
      <c r="D41" s="337" t="s">
        <v>69</v>
      </c>
      <c r="E41" s="287" t="s">
        <v>1</v>
      </c>
      <c r="F41" s="287" t="s">
        <v>2</v>
      </c>
      <c r="G41" s="287" t="s">
        <v>13</v>
      </c>
      <c r="H41" s="287" t="s">
        <v>14</v>
      </c>
      <c r="I41" s="287" t="s">
        <v>15</v>
      </c>
      <c r="J41" s="288" t="s">
        <v>16</v>
      </c>
    </row>
    <row r="42" spans="3:10" ht="15.6" customHeight="1" x14ac:dyDescent="0.25">
      <c r="D42" s="95" t="s">
        <v>88</v>
      </c>
      <c r="E42" s="63">
        <f>1/(1+25%)^0</f>
        <v>1</v>
      </c>
      <c r="F42" s="63">
        <f>1/(1+25%)^1</f>
        <v>0.8</v>
      </c>
      <c r="G42" s="63">
        <f>1/(1+25%)^2</f>
        <v>0.64</v>
      </c>
      <c r="H42" s="63">
        <f>1/(1+25%)^3</f>
        <v>0.51200000000000001</v>
      </c>
      <c r="I42" s="63">
        <f>1/(1+25%)^4</f>
        <v>0.40960000000000002</v>
      </c>
      <c r="J42" s="99">
        <f>1/(1+25%)^5</f>
        <v>0.32768000000000003</v>
      </c>
    </row>
    <row r="43" spans="3:10" ht="15.6" customHeight="1" x14ac:dyDescent="0.25">
      <c r="D43" s="95" t="s">
        <v>89</v>
      </c>
      <c r="E43" s="63">
        <f t="shared" ref="E43:J43" si="3">+E38*E42</f>
        <v>-890000</v>
      </c>
      <c r="F43" s="63">
        <f t="shared" si="3"/>
        <v>252960</v>
      </c>
      <c r="G43" s="63">
        <f t="shared" si="3"/>
        <v>202368</v>
      </c>
      <c r="H43" s="63">
        <f t="shared" si="3"/>
        <v>161894.39999999999</v>
      </c>
      <c r="I43" s="63">
        <f t="shared" si="3"/>
        <v>117227.52</v>
      </c>
      <c r="J43" s="99">
        <f t="shared" si="3"/>
        <v>65929.216</v>
      </c>
    </row>
    <row r="44" spans="3:10" ht="15.6" customHeight="1" x14ac:dyDescent="0.25">
      <c r="D44" s="95" t="s">
        <v>90</v>
      </c>
      <c r="E44" s="63">
        <f>+E43</f>
        <v>-890000</v>
      </c>
      <c r="F44" s="63">
        <f>+E44+F43</f>
        <v>-637040</v>
      </c>
      <c r="G44" s="63">
        <f t="shared" ref="G44:J44" si="4">+F44+G43</f>
        <v>-434672</v>
      </c>
      <c r="H44" s="63">
        <f t="shared" si="4"/>
        <v>-272777.59999999998</v>
      </c>
      <c r="I44" s="63">
        <f t="shared" si="4"/>
        <v>-155550.07999999996</v>
      </c>
      <c r="J44" s="99">
        <f t="shared" si="4"/>
        <v>-89620.863999999958</v>
      </c>
    </row>
    <row r="45" spans="3:10" ht="15.6" customHeight="1" x14ac:dyDescent="0.25">
      <c r="D45" s="286" t="s">
        <v>91</v>
      </c>
      <c r="E45" s="182"/>
      <c r="F45" s="182"/>
      <c r="G45" s="182"/>
      <c r="H45" s="182"/>
      <c r="I45" s="182"/>
      <c r="J45" s="100"/>
    </row>
    <row r="46" spans="3:10" ht="13.8" x14ac:dyDescent="0.25">
      <c r="C46" s="2"/>
      <c r="D46" s="56"/>
      <c r="E46" s="56"/>
      <c r="F46" s="56"/>
      <c r="G46" s="56"/>
      <c r="H46" s="56"/>
      <c r="I46" s="56"/>
      <c r="J46" s="56"/>
    </row>
    <row r="47" spans="3:10" ht="13.8" x14ac:dyDescent="0.25">
      <c r="D47" s="88" t="s">
        <v>305</v>
      </c>
      <c r="E47" s="339">
        <f>+E38+NPV(25%,F38:J38)</f>
        <v>-89620.863999999943</v>
      </c>
      <c r="F47" s="56"/>
      <c r="G47" s="56"/>
      <c r="H47" s="56"/>
      <c r="I47" s="56"/>
      <c r="J47" s="56"/>
    </row>
    <row r="48" spans="3:10" ht="13.8" x14ac:dyDescent="0.25">
      <c r="D48" s="56"/>
      <c r="E48" s="56"/>
      <c r="F48" s="56"/>
      <c r="G48" s="56"/>
      <c r="H48" s="56"/>
      <c r="I48" s="56"/>
      <c r="J48" s="56"/>
    </row>
    <row r="49" spans="4:10" x14ac:dyDescent="0.25">
      <c r="D49" s="36"/>
      <c r="E49" s="36"/>
      <c r="F49" s="36"/>
      <c r="G49" s="36"/>
      <c r="H49" s="36"/>
      <c r="I49" s="36"/>
      <c r="J49" s="36"/>
    </row>
  </sheetData>
  <sheetProtection algorithmName="SHA-512" hashValue="3FbPc9dZvAqm97lzDL7oxt10/tNMKT1X19l3YoH/iTLg1BvgwoORco/s9LzkVAsSeX1QhtY25ZZ8bZC5WmIiZA==" saltValue="L46hhyfNehLqOfUMMrVdCA==" spinCount="100000" sheet="1" objects="1" scenarios="1"/>
  <mergeCells count="1">
    <mergeCell ref="D1:J1"/>
  </mergeCells>
  <hyperlinks>
    <hyperlink ref="D47" r:id="rId1" display="VPN@25%" xr:uid="{00000000-0004-0000-0A00-000000000000}"/>
  </hyperlinks>
  <pageMargins left="0.7" right="0.7" top="0.75" bottom="0.75" header="0.3" footer="0.3"/>
  <pageSetup orientation="portrait" horizontalDpi="360" verticalDpi="36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C1:P54"/>
  <sheetViews>
    <sheetView topLeftCell="B31" zoomScaleNormal="100" workbookViewId="0">
      <selection activeCell="H50" sqref="H50"/>
    </sheetView>
  </sheetViews>
  <sheetFormatPr baseColWidth="10" defaultRowHeight="13.8" x14ac:dyDescent="0.25"/>
  <cols>
    <col min="1" max="1" width="11.5546875" style="66"/>
    <col min="2" max="2" width="12.5546875" style="66" customWidth="1"/>
    <col min="3" max="3" width="22.44140625" style="66" bestFit="1" customWidth="1"/>
    <col min="4" max="4" width="10.33203125" style="66" customWidth="1"/>
    <col min="5" max="13" width="10.88671875" style="66" customWidth="1"/>
    <col min="14" max="258" width="11.44140625" style="66"/>
    <col min="259" max="259" width="26.5546875" style="66" customWidth="1"/>
    <col min="260" max="514" width="11.44140625" style="66"/>
    <col min="515" max="515" width="26.5546875" style="66" customWidth="1"/>
    <col min="516" max="770" width="11.44140625" style="66"/>
    <col min="771" max="771" width="26.5546875" style="66" customWidth="1"/>
    <col min="772" max="1026" width="11.44140625" style="66"/>
    <col min="1027" max="1027" width="26.5546875" style="66" customWidth="1"/>
    <col min="1028" max="1282" width="11.44140625" style="66"/>
    <col min="1283" max="1283" width="26.5546875" style="66" customWidth="1"/>
    <col min="1284" max="1538" width="11.44140625" style="66"/>
    <col min="1539" max="1539" width="26.5546875" style="66" customWidth="1"/>
    <col min="1540" max="1794" width="11.44140625" style="66"/>
    <col min="1795" max="1795" width="26.5546875" style="66" customWidth="1"/>
    <col min="1796" max="2050" width="11.44140625" style="66"/>
    <col min="2051" max="2051" width="26.5546875" style="66" customWidth="1"/>
    <col min="2052" max="2306" width="11.44140625" style="66"/>
    <col min="2307" max="2307" width="26.5546875" style="66" customWidth="1"/>
    <col min="2308" max="2562" width="11.44140625" style="66"/>
    <col min="2563" max="2563" width="26.5546875" style="66" customWidth="1"/>
    <col min="2564" max="2818" width="11.44140625" style="66"/>
    <col min="2819" max="2819" width="26.5546875" style="66" customWidth="1"/>
    <col min="2820" max="3074" width="11.44140625" style="66"/>
    <col min="3075" max="3075" width="26.5546875" style="66" customWidth="1"/>
    <col min="3076" max="3330" width="11.44140625" style="66"/>
    <col min="3331" max="3331" width="26.5546875" style="66" customWidth="1"/>
    <col min="3332" max="3586" width="11.44140625" style="66"/>
    <col min="3587" max="3587" width="26.5546875" style="66" customWidth="1"/>
    <col min="3588" max="3842" width="11.44140625" style="66"/>
    <col min="3843" max="3843" width="26.5546875" style="66" customWidth="1"/>
    <col min="3844" max="4098" width="11.44140625" style="66"/>
    <col min="4099" max="4099" width="26.5546875" style="66" customWidth="1"/>
    <col min="4100" max="4354" width="11.44140625" style="66"/>
    <col min="4355" max="4355" width="26.5546875" style="66" customWidth="1"/>
    <col min="4356" max="4610" width="11.44140625" style="66"/>
    <col min="4611" max="4611" width="26.5546875" style="66" customWidth="1"/>
    <col min="4612" max="4866" width="11.44140625" style="66"/>
    <col min="4867" max="4867" width="26.5546875" style="66" customWidth="1"/>
    <col min="4868" max="5122" width="11.44140625" style="66"/>
    <col min="5123" max="5123" width="26.5546875" style="66" customWidth="1"/>
    <col min="5124" max="5378" width="11.44140625" style="66"/>
    <col min="5379" max="5379" width="26.5546875" style="66" customWidth="1"/>
    <col min="5380" max="5634" width="11.44140625" style="66"/>
    <col min="5635" max="5635" width="26.5546875" style="66" customWidth="1"/>
    <col min="5636" max="5890" width="11.44140625" style="66"/>
    <col min="5891" max="5891" width="26.5546875" style="66" customWidth="1"/>
    <col min="5892" max="6146" width="11.44140625" style="66"/>
    <col min="6147" max="6147" width="26.5546875" style="66" customWidth="1"/>
    <col min="6148" max="6402" width="11.44140625" style="66"/>
    <col min="6403" max="6403" width="26.5546875" style="66" customWidth="1"/>
    <col min="6404" max="6658" width="11.44140625" style="66"/>
    <col min="6659" max="6659" width="26.5546875" style="66" customWidth="1"/>
    <col min="6660" max="6914" width="11.44140625" style="66"/>
    <col min="6915" max="6915" width="26.5546875" style="66" customWidth="1"/>
    <col min="6916" max="7170" width="11.44140625" style="66"/>
    <col min="7171" max="7171" width="26.5546875" style="66" customWidth="1"/>
    <col min="7172" max="7426" width="11.44140625" style="66"/>
    <col min="7427" max="7427" width="26.5546875" style="66" customWidth="1"/>
    <col min="7428" max="7682" width="11.44140625" style="66"/>
    <col min="7683" max="7683" width="26.5546875" style="66" customWidth="1"/>
    <col min="7684" max="7938" width="11.44140625" style="66"/>
    <col min="7939" max="7939" width="26.5546875" style="66" customWidth="1"/>
    <col min="7940" max="8194" width="11.44140625" style="66"/>
    <col min="8195" max="8195" width="26.5546875" style="66" customWidth="1"/>
    <col min="8196" max="8450" width="11.44140625" style="66"/>
    <col min="8451" max="8451" width="26.5546875" style="66" customWidth="1"/>
    <col min="8452" max="8706" width="11.44140625" style="66"/>
    <col min="8707" max="8707" width="26.5546875" style="66" customWidth="1"/>
    <col min="8708" max="8962" width="11.44140625" style="66"/>
    <col min="8963" max="8963" width="26.5546875" style="66" customWidth="1"/>
    <col min="8964" max="9218" width="11.44140625" style="66"/>
    <col min="9219" max="9219" width="26.5546875" style="66" customWidth="1"/>
    <col min="9220" max="9474" width="11.44140625" style="66"/>
    <col min="9475" max="9475" width="26.5546875" style="66" customWidth="1"/>
    <col min="9476" max="9730" width="11.44140625" style="66"/>
    <col min="9731" max="9731" width="26.5546875" style="66" customWidth="1"/>
    <col min="9732" max="9986" width="11.44140625" style="66"/>
    <col min="9987" max="9987" width="26.5546875" style="66" customWidth="1"/>
    <col min="9988" max="10242" width="11.44140625" style="66"/>
    <col min="10243" max="10243" width="26.5546875" style="66" customWidth="1"/>
    <col min="10244" max="10498" width="11.44140625" style="66"/>
    <col min="10499" max="10499" width="26.5546875" style="66" customWidth="1"/>
    <col min="10500" max="10754" width="11.44140625" style="66"/>
    <col min="10755" max="10755" width="26.5546875" style="66" customWidth="1"/>
    <col min="10756" max="11010" width="11.44140625" style="66"/>
    <col min="11011" max="11011" width="26.5546875" style="66" customWidth="1"/>
    <col min="11012" max="11266" width="11.44140625" style="66"/>
    <col min="11267" max="11267" width="26.5546875" style="66" customWidth="1"/>
    <col min="11268" max="11522" width="11.44140625" style="66"/>
    <col min="11523" max="11523" width="26.5546875" style="66" customWidth="1"/>
    <col min="11524" max="11778" width="11.44140625" style="66"/>
    <col min="11779" max="11779" width="26.5546875" style="66" customWidth="1"/>
    <col min="11780" max="12034" width="11.44140625" style="66"/>
    <col min="12035" max="12035" width="26.5546875" style="66" customWidth="1"/>
    <col min="12036" max="12290" width="11.44140625" style="66"/>
    <col min="12291" max="12291" width="26.5546875" style="66" customWidth="1"/>
    <col min="12292" max="12546" width="11.44140625" style="66"/>
    <col min="12547" max="12547" width="26.5546875" style="66" customWidth="1"/>
    <col min="12548" max="12802" width="11.44140625" style="66"/>
    <col min="12803" max="12803" width="26.5546875" style="66" customWidth="1"/>
    <col min="12804" max="13058" width="11.44140625" style="66"/>
    <col min="13059" max="13059" width="26.5546875" style="66" customWidth="1"/>
    <col min="13060" max="13314" width="11.44140625" style="66"/>
    <col min="13315" max="13315" width="26.5546875" style="66" customWidth="1"/>
    <col min="13316" max="13570" width="11.44140625" style="66"/>
    <col min="13571" max="13571" width="26.5546875" style="66" customWidth="1"/>
    <col min="13572" max="13826" width="11.44140625" style="66"/>
    <col min="13827" max="13827" width="26.5546875" style="66" customWidth="1"/>
    <col min="13828" max="14082" width="11.44140625" style="66"/>
    <col min="14083" max="14083" width="26.5546875" style="66" customWidth="1"/>
    <col min="14084" max="14338" width="11.44140625" style="66"/>
    <col min="14339" max="14339" width="26.5546875" style="66" customWidth="1"/>
    <col min="14340" max="14594" width="11.44140625" style="66"/>
    <col min="14595" max="14595" width="26.5546875" style="66" customWidth="1"/>
    <col min="14596" max="14850" width="11.44140625" style="66"/>
    <col min="14851" max="14851" width="26.5546875" style="66" customWidth="1"/>
    <col min="14852" max="15106" width="11.44140625" style="66"/>
    <col min="15107" max="15107" width="26.5546875" style="66" customWidth="1"/>
    <col min="15108" max="15362" width="11.44140625" style="66"/>
    <col min="15363" max="15363" width="26.5546875" style="66" customWidth="1"/>
    <col min="15364" max="15618" width="11.44140625" style="66"/>
    <col min="15619" max="15619" width="26.5546875" style="66" customWidth="1"/>
    <col min="15620" max="15874" width="11.44140625" style="66"/>
    <col min="15875" max="15875" width="26.5546875" style="66" customWidth="1"/>
    <col min="15876" max="16130" width="11.44140625" style="66"/>
    <col min="16131" max="16131" width="26.5546875" style="66" customWidth="1"/>
    <col min="16132" max="16383" width="11.44140625" style="66"/>
    <col min="16384" max="16384" width="11.44140625" style="66" customWidth="1"/>
  </cols>
  <sheetData>
    <row r="1" spans="3:13" ht="19.95" customHeight="1" x14ac:dyDescent="0.25">
      <c r="C1" s="353" t="s">
        <v>309</v>
      </c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3" spans="3:13" ht="17.399999999999999" customHeight="1" x14ac:dyDescent="0.25">
      <c r="C3" s="129" t="s">
        <v>293</v>
      </c>
      <c r="D3" s="136">
        <v>0.05</v>
      </c>
      <c r="E3" s="134"/>
      <c r="F3" s="134"/>
      <c r="G3" s="134"/>
      <c r="H3" s="134"/>
      <c r="I3" s="134"/>
      <c r="J3" s="134"/>
      <c r="K3" s="134"/>
      <c r="L3" s="134"/>
      <c r="M3" s="56"/>
    </row>
    <row r="4" spans="3:13" ht="17.399999999999999" customHeight="1" x14ac:dyDescent="0.25">
      <c r="C4" s="129" t="s">
        <v>294</v>
      </c>
      <c r="D4" s="136">
        <v>0.04</v>
      </c>
      <c r="E4" s="134"/>
      <c r="F4" s="134"/>
      <c r="G4" s="134"/>
      <c r="H4" s="134"/>
      <c r="I4" s="134"/>
      <c r="J4" s="134"/>
      <c r="K4" s="134"/>
      <c r="L4" s="134"/>
      <c r="M4" s="56"/>
    </row>
    <row r="5" spans="3:13" x14ac:dyDescent="0.25">
      <c r="C5" s="56"/>
      <c r="D5" s="56"/>
      <c r="E5" s="134"/>
      <c r="F5" s="134"/>
      <c r="G5" s="134"/>
      <c r="H5" s="134"/>
      <c r="I5" s="134"/>
      <c r="J5" s="134"/>
      <c r="K5" s="134"/>
      <c r="L5" s="134"/>
      <c r="M5" s="56"/>
    </row>
    <row r="6" spans="3:13" x14ac:dyDescent="0.25">
      <c r="C6" s="128" t="s">
        <v>307</v>
      </c>
      <c r="D6" s="56"/>
      <c r="E6" s="134"/>
      <c r="F6" s="134"/>
      <c r="G6" s="134"/>
      <c r="H6" s="134"/>
      <c r="I6" s="134"/>
      <c r="J6" s="134"/>
      <c r="K6" s="134"/>
      <c r="L6" s="134"/>
      <c r="M6" s="56"/>
    </row>
    <row r="7" spans="3:13" x14ac:dyDescent="0.25">
      <c r="C7" s="56"/>
      <c r="D7" s="56"/>
      <c r="E7" s="134"/>
      <c r="F7" s="134"/>
      <c r="G7" s="134"/>
      <c r="H7" s="134"/>
      <c r="I7" s="134"/>
      <c r="J7" s="134"/>
      <c r="K7" s="134"/>
      <c r="L7" s="134"/>
      <c r="M7" s="56"/>
    </row>
    <row r="8" spans="3:13" ht="15" customHeight="1" x14ac:dyDescent="0.25">
      <c r="C8" s="107" t="s">
        <v>37</v>
      </c>
      <c r="D8" s="108" t="s">
        <v>1</v>
      </c>
      <c r="E8" s="108" t="s">
        <v>2</v>
      </c>
      <c r="F8" s="108" t="s">
        <v>13</v>
      </c>
      <c r="G8" s="108" t="s">
        <v>14</v>
      </c>
      <c r="H8" s="108" t="s">
        <v>15</v>
      </c>
      <c r="I8" s="108" t="s">
        <v>16</v>
      </c>
      <c r="J8" s="108" t="s">
        <v>17</v>
      </c>
      <c r="K8" s="108" t="s">
        <v>18</v>
      </c>
      <c r="L8" s="108" t="s">
        <v>19</v>
      </c>
      <c r="M8" s="109" t="s">
        <v>20</v>
      </c>
    </row>
    <row r="9" spans="3:13" ht="15" customHeight="1" x14ac:dyDescent="0.25">
      <c r="C9" s="95" t="s">
        <v>40</v>
      </c>
      <c r="D9" s="63"/>
      <c r="E9" s="63">
        <v>4200</v>
      </c>
      <c r="F9" s="63">
        <f>+E9*(1+$D$3)</f>
        <v>4410</v>
      </c>
      <c r="G9" s="63">
        <f t="shared" ref="G9:L9" si="0">+F9*(1+$D$3)</f>
        <v>4630.5</v>
      </c>
      <c r="H9" s="63">
        <f t="shared" si="0"/>
        <v>4862.0250000000005</v>
      </c>
      <c r="I9" s="63">
        <f t="shared" si="0"/>
        <v>5105.1262500000012</v>
      </c>
      <c r="J9" s="63">
        <f t="shared" si="0"/>
        <v>5360.3825625000018</v>
      </c>
      <c r="K9" s="63">
        <f t="shared" si="0"/>
        <v>5628.4016906250017</v>
      </c>
      <c r="L9" s="63">
        <f t="shared" si="0"/>
        <v>5909.8217751562524</v>
      </c>
      <c r="M9" s="99"/>
    </row>
    <row r="10" spans="3:13" ht="15" customHeight="1" x14ac:dyDescent="0.25">
      <c r="C10" s="95" t="s">
        <v>129</v>
      </c>
      <c r="D10" s="63"/>
      <c r="E10" s="63"/>
      <c r="F10" s="63"/>
      <c r="G10" s="63"/>
      <c r="H10" s="63"/>
      <c r="I10" s="63"/>
      <c r="J10" s="63"/>
      <c r="K10" s="63"/>
      <c r="L10" s="63"/>
      <c r="M10" s="99">
        <f>400-(-D25+E13+F13+G13+H13+I13+J13+K13+L13)</f>
        <v>160</v>
      </c>
    </row>
    <row r="11" spans="3:13" ht="15" customHeight="1" x14ac:dyDescent="0.25">
      <c r="C11" s="95" t="s">
        <v>93</v>
      </c>
      <c r="D11" s="63"/>
      <c r="E11" s="63">
        <f>-E9*90%</f>
        <v>-3780</v>
      </c>
      <c r="F11" s="63">
        <f t="shared" ref="F11:L11" si="1">-F9*90%</f>
        <v>-3969</v>
      </c>
      <c r="G11" s="63">
        <f t="shared" si="1"/>
        <v>-4167.45</v>
      </c>
      <c r="H11" s="63">
        <f t="shared" si="1"/>
        <v>-4375.8225000000002</v>
      </c>
      <c r="I11" s="63">
        <f t="shared" si="1"/>
        <v>-4594.6136250000009</v>
      </c>
      <c r="J11" s="63">
        <f t="shared" si="1"/>
        <v>-4824.3443062500019</v>
      </c>
      <c r="K11" s="63">
        <f t="shared" si="1"/>
        <v>-5065.5615215625021</v>
      </c>
      <c r="L11" s="63">
        <f t="shared" si="1"/>
        <v>-5318.8395976406273</v>
      </c>
      <c r="M11" s="99"/>
    </row>
    <row r="12" spans="3:13" ht="15" customHeight="1" x14ac:dyDescent="0.25">
      <c r="C12" s="95" t="s">
        <v>94</v>
      </c>
      <c r="D12" s="63"/>
      <c r="E12" s="63">
        <v>-100</v>
      </c>
      <c r="F12" s="63">
        <f>+E12*(1+$D$4)</f>
        <v>-104</v>
      </c>
      <c r="G12" s="63">
        <f t="shared" ref="G12:L12" si="2">+F12*(1+$D$4)</f>
        <v>-108.16</v>
      </c>
      <c r="H12" s="63">
        <f t="shared" si="2"/>
        <v>-112.4864</v>
      </c>
      <c r="I12" s="63">
        <f t="shared" si="2"/>
        <v>-116.98585600000001</v>
      </c>
      <c r="J12" s="63">
        <f t="shared" si="2"/>
        <v>-121.66529024000002</v>
      </c>
      <c r="K12" s="63">
        <f t="shared" si="2"/>
        <v>-126.53190184960002</v>
      </c>
      <c r="L12" s="63">
        <f t="shared" si="2"/>
        <v>-131.59317792358402</v>
      </c>
      <c r="M12" s="99"/>
    </row>
    <row r="13" spans="3:13" ht="15" customHeight="1" x14ac:dyDescent="0.25">
      <c r="C13" s="95" t="s">
        <v>30</v>
      </c>
      <c r="D13" s="63"/>
      <c r="E13" s="63">
        <f>$D$25*10%</f>
        <v>-120</v>
      </c>
      <c r="F13" s="63">
        <f t="shared" ref="F13:L13" si="3">$D$25*10%</f>
        <v>-120</v>
      </c>
      <c r="G13" s="63">
        <f t="shared" si="3"/>
        <v>-120</v>
      </c>
      <c r="H13" s="63">
        <f t="shared" si="3"/>
        <v>-120</v>
      </c>
      <c r="I13" s="63">
        <f t="shared" si="3"/>
        <v>-120</v>
      </c>
      <c r="J13" s="63">
        <f t="shared" si="3"/>
        <v>-120</v>
      </c>
      <c r="K13" s="63">
        <f t="shared" si="3"/>
        <v>-120</v>
      </c>
      <c r="L13" s="63">
        <f t="shared" si="3"/>
        <v>-120</v>
      </c>
      <c r="M13" s="99"/>
    </row>
    <row r="14" spans="3:13" ht="15" customHeight="1" x14ac:dyDescent="0.25">
      <c r="C14" s="95" t="s">
        <v>84</v>
      </c>
      <c r="D14" s="63"/>
      <c r="E14" s="63">
        <f>-SUM(E9:E13)*30%</f>
        <v>-60</v>
      </c>
      <c r="F14" s="63">
        <f t="shared" ref="F14:M14" si="4">-SUM(F9:F13)*30%</f>
        <v>-65.099999999999994</v>
      </c>
      <c r="G14" s="63">
        <f t="shared" si="4"/>
        <v>-70.467000000000056</v>
      </c>
      <c r="H14" s="63">
        <f t="shared" si="4"/>
        <v>-76.114830000000097</v>
      </c>
      <c r="I14" s="63">
        <f t="shared" si="4"/>
        <v>-82.058030700000089</v>
      </c>
      <c r="J14" s="63">
        <f t="shared" si="4"/>
        <v>-88.311889802999971</v>
      </c>
      <c r="K14" s="63">
        <f t="shared" si="4"/>
        <v>-94.892480163869891</v>
      </c>
      <c r="L14" s="63">
        <f t="shared" si="4"/>
        <v>-101.81669987761235</v>
      </c>
      <c r="M14" s="99">
        <f t="shared" si="4"/>
        <v>-48</v>
      </c>
    </row>
    <row r="15" spans="3:13" ht="15" customHeight="1" x14ac:dyDescent="0.25">
      <c r="C15" s="245" t="s">
        <v>95</v>
      </c>
      <c r="D15" s="246"/>
      <c r="E15" s="246">
        <f>SUM(E9:E14)</f>
        <v>140</v>
      </c>
      <c r="F15" s="246">
        <f t="shared" ref="F15:M15" si="5">SUM(F9:F14)</f>
        <v>151.9</v>
      </c>
      <c r="G15" s="246">
        <f t="shared" si="5"/>
        <v>164.42300000000017</v>
      </c>
      <c r="H15" s="246">
        <f t="shared" si="5"/>
        <v>177.60127000000023</v>
      </c>
      <c r="I15" s="246">
        <f t="shared" si="5"/>
        <v>191.46873830000021</v>
      </c>
      <c r="J15" s="246">
        <f t="shared" si="5"/>
        <v>206.06107620699993</v>
      </c>
      <c r="K15" s="246">
        <f t="shared" si="5"/>
        <v>221.41578704902975</v>
      </c>
      <c r="L15" s="246">
        <f t="shared" si="5"/>
        <v>237.57229971442882</v>
      </c>
      <c r="M15" s="247">
        <f t="shared" si="5"/>
        <v>112</v>
      </c>
    </row>
    <row r="16" spans="3:13" ht="15" customHeight="1" x14ac:dyDescent="0.25"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3:16" ht="15" customHeight="1" x14ac:dyDescent="0.25">
      <c r="C17" s="107" t="s">
        <v>0</v>
      </c>
      <c r="D17" s="108" t="s">
        <v>1</v>
      </c>
      <c r="E17" s="108" t="s">
        <v>2</v>
      </c>
      <c r="F17" s="108" t="s">
        <v>13</v>
      </c>
      <c r="G17" s="108" t="s">
        <v>14</v>
      </c>
      <c r="H17" s="108" t="s">
        <v>15</v>
      </c>
      <c r="I17" s="108" t="s">
        <v>16</v>
      </c>
      <c r="J17" s="108" t="s">
        <v>17</v>
      </c>
      <c r="K17" s="108" t="s">
        <v>18</v>
      </c>
      <c r="L17" s="108" t="s">
        <v>19</v>
      </c>
      <c r="M17" s="109" t="s">
        <v>20</v>
      </c>
    </row>
    <row r="18" spans="3:16" ht="15" customHeight="1" x14ac:dyDescent="0.25">
      <c r="C18" s="95" t="str">
        <f>+C9</f>
        <v>ingresos</v>
      </c>
      <c r="D18" s="63"/>
      <c r="E18" s="63">
        <f>+E9</f>
        <v>4200</v>
      </c>
      <c r="F18" s="63">
        <f t="shared" ref="F18:L18" si="6">+F9</f>
        <v>4410</v>
      </c>
      <c r="G18" s="63">
        <f t="shared" si="6"/>
        <v>4630.5</v>
      </c>
      <c r="H18" s="63">
        <f t="shared" si="6"/>
        <v>4862.0250000000005</v>
      </c>
      <c r="I18" s="63">
        <f t="shared" si="6"/>
        <v>5105.1262500000012</v>
      </c>
      <c r="J18" s="63">
        <f t="shared" si="6"/>
        <v>5360.3825625000018</v>
      </c>
      <c r="K18" s="63">
        <f t="shared" si="6"/>
        <v>5628.4016906250017</v>
      </c>
      <c r="L18" s="63">
        <f t="shared" si="6"/>
        <v>5909.8217751562524</v>
      </c>
      <c r="M18" s="99"/>
    </row>
    <row r="19" spans="3:16" ht="15" customHeight="1" x14ac:dyDescent="0.25">
      <c r="C19" s="95" t="s">
        <v>96</v>
      </c>
      <c r="D19" s="63"/>
      <c r="E19" s="63"/>
      <c r="F19" s="63"/>
      <c r="G19" s="63"/>
      <c r="H19" s="63"/>
      <c r="I19" s="63"/>
      <c r="J19" s="63"/>
      <c r="K19" s="63"/>
      <c r="L19" s="63"/>
      <c r="M19" s="99">
        <v>400</v>
      </c>
      <c r="P19" s="56"/>
    </row>
    <row r="20" spans="3:16" ht="15" customHeight="1" x14ac:dyDescent="0.25">
      <c r="C20" s="95" t="s">
        <v>97</v>
      </c>
      <c r="D20" s="63"/>
      <c r="E20" s="63"/>
      <c r="F20" s="63"/>
      <c r="G20" s="63"/>
      <c r="H20" s="63"/>
      <c r="I20" s="63"/>
      <c r="J20" s="63"/>
      <c r="K20" s="63"/>
      <c r="L20" s="63"/>
      <c r="M20" s="99">
        <f>-SUM(D26:K26)</f>
        <v>590.98217751562515</v>
      </c>
      <c r="P20" s="56"/>
    </row>
    <row r="21" spans="3:16" ht="15" customHeight="1" x14ac:dyDescent="0.25">
      <c r="C21" s="95" t="str">
        <f>+C11</f>
        <v>costos operativos</v>
      </c>
      <c r="D21" s="63"/>
      <c r="E21" s="63">
        <f t="shared" ref="E21:L22" si="7">+E11</f>
        <v>-3780</v>
      </c>
      <c r="F21" s="63">
        <f t="shared" si="7"/>
        <v>-3969</v>
      </c>
      <c r="G21" s="63">
        <f t="shared" si="7"/>
        <v>-4167.45</v>
      </c>
      <c r="H21" s="63">
        <f t="shared" si="7"/>
        <v>-4375.8225000000002</v>
      </c>
      <c r="I21" s="63">
        <f t="shared" si="7"/>
        <v>-4594.6136250000009</v>
      </c>
      <c r="J21" s="63">
        <f t="shared" si="7"/>
        <v>-4824.3443062500019</v>
      </c>
      <c r="K21" s="63">
        <f t="shared" si="7"/>
        <v>-5065.5615215625021</v>
      </c>
      <c r="L21" s="63">
        <f t="shared" si="7"/>
        <v>-5318.8395976406273</v>
      </c>
      <c r="M21" s="99"/>
      <c r="P21" s="56"/>
    </row>
    <row r="22" spans="3:16" ht="15" customHeight="1" x14ac:dyDescent="0.25">
      <c r="C22" s="95" t="s">
        <v>94</v>
      </c>
      <c r="D22" s="63"/>
      <c r="E22" s="63">
        <f>+E12</f>
        <v>-100</v>
      </c>
      <c r="F22" s="63">
        <f t="shared" si="7"/>
        <v>-104</v>
      </c>
      <c r="G22" s="63">
        <f t="shared" si="7"/>
        <v>-108.16</v>
      </c>
      <c r="H22" s="63">
        <f t="shared" si="7"/>
        <v>-112.4864</v>
      </c>
      <c r="I22" s="63">
        <f t="shared" si="7"/>
        <v>-116.98585600000001</v>
      </c>
      <c r="J22" s="63">
        <f t="shared" si="7"/>
        <v>-121.66529024000002</v>
      </c>
      <c r="K22" s="63">
        <f t="shared" si="7"/>
        <v>-126.53190184960002</v>
      </c>
      <c r="L22" s="63">
        <f t="shared" si="7"/>
        <v>-131.59317792358402</v>
      </c>
      <c r="M22" s="99"/>
    </row>
    <row r="23" spans="3:16" ht="15" customHeight="1" x14ac:dyDescent="0.25">
      <c r="C23" s="95" t="str">
        <f>+C14</f>
        <v>impto.renta</v>
      </c>
      <c r="D23" s="63"/>
      <c r="E23" s="63">
        <f t="shared" ref="E23:M23" si="8">+E14</f>
        <v>-60</v>
      </c>
      <c r="F23" s="63">
        <f t="shared" si="8"/>
        <v>-65.099999999999994</v>
      </c>
      <c r="G23" s="63">
        <f t="shared" si="8"/>
        <v>-70.467000000000056</v>
      </c>
      <c r="H23" s="63">
        <f t="shared" si="8"/>
        <v>-76.114830000000097</v>
      </c>
      <c r="I23" s="63">
        <f t="shared" si="8"/>
        <v>-82.058030700000089</v>
      </c>
      <c r="J23" s="63">
        <f t="shared" si="8"/>
        <v>-88.311889802999971</v>
      </c>
      <c r="K23" s="63">
        <f t="shared" si="8"/>
        <v>-94.892480163869891</v>
      </c>
      <c r="L23" s="63">
        <f t="shared" si="8"/>
        <v>-101.81669987761235</v>
      </c>
      <c r="M23" s="99">
        <f t="shared" si="8"/>
        <v>-48</v>
      </c>
    </row>
    <row r="24" spans="3:16" ht="15" customHeight="1" x14ac:dyDescent="0.25">
      <c r="C24" s="95" t="s">
        <v>5</v>
      </c>
      <c r="D24" s="63">
        <f>SUM(D25:D26)</f>
        <v>-1620</v>
      </c>
      <c r="E24" s="63">
        <f t="shared" ref="E24:L24" si="9">SUM(E25:E26)</f>
        <v>-21</v>
      </c>
      <c r="F24" s="63">
        <f t="shared" si="9"/>
        <v>-22.05</v>
      </c>
      <c r="G24" s="63">
        <f t="shared" si="9"/>
        <v>-23.152500000000057</v>
      </c>
      <c r="H24" s="63">
        <f t="shared" si="9"/>
        <v>-24.310125000000063</v>
      </c>
      <c r="I24" s="63">
        <f t="shared" si="9"/>
        <v>-25.52563125000006</v>
      </c>
      <c r="J24" s="63">
        <f t="shared" si="9"/>
        <v>-26.801912812499996</v>
      </c>
      <c r="K24" s="63">
        <f t="shared" si="9"/>
        <v>-28.142008453125072</v>
      </c>
      <c r="L24" s="63">
        <f t="shared" si="9"/>
        <v>0</v>
      </c>
      <c r="M24" s="99"/>
    </row>
    <row r="25" spans="3:16" ht="15" customHeight="1" x14ac:dyDescent="0.25">
      <c r="C25" s="95" t="s">
        <v>98</v>
      </c>
      <c r="D25" s="63">
        <v>-1200</v>
      </c>
      <c r="E25" s="63"/>
      <c r="F25" s="63"/>
      <c r="G25" s="63"/>
      <c r="H25" s="63"/>
      <c r="I25" s="63"/>
      <c r="J25" s="63"/>
      <c r="K25" s="63"/>
      <c r="L25" s="63"/>
      <c r="M25" s="99"/>
    </row>
    <row r="26" spans="3:16" ht="15" customHeight="1" x14ac:dyDescent="0.25">
      <c r="C26" s="95" t="s">
        <v>6</v>
      </c>
      <c r="D26" s="63">
        <f>-(E18-D18)*0.1</f>
        <v>-420</v>
      </c>
      <c r="E26" s="63">
        <f>-(+F9-E9)*0.1</f>
        <v>-21</v>
      </c>
      <c r="F26" s="63">
        <f t="shared" ref="F26:K26" si="10">-(+G9-F9)*0.1</f>
        <v>-22.05</v>
      </c>
      <c r="G26" s="63">
        <f t="shared" si="10"/>
        <v>-23.152500000000057</v>
      </c>
      <c r="H26" s="63">
        <f t="shared" si="10"/>
        <v>-24.310125000000063</v>
      </c>
      <c r="I26" s="63">
        <f t="shared" si="10"/>
        <v>-25.52563125000006</v>
      </c>
      <c r="J26" s="63">
        <f t="shared" si="10"/>
        <v>-26.801912812499996</v>
      </c>
      <c r="K26" s="63">
        <f t="shared" si="10"/>
        <v>-28.142008453125072</v>
      </c>
      <c r="L26" s="63"/>
      <c r="M26" s="99"/>
    </row>
    <row r="27" spans="3:16" ht="15" customHeight="1" x14ac:dyDescent="0.25">
      <c r="C27" s="245" t="s">
        <v>85</v>
      </c>
      <c r="D27" s="246">
        <f>SUM(D18:D24)</f>
        <v>-1620</v>
      </c>
      <c r="E27" s="246">
        <f t="shared" ref="E27:M27" si="11">SUM(E18:E24)</f>
        <v>239</v>
      </c>
      <c r="F27" s="246">
        <f t="shared" si="11"/>
        <v>249.84999999999997</v>
      </c>
      <c r="G27" s="246">
        <f t="shared" si="11"/>
        <v>261.27050000000014</v>
      </c>
      <c r="H27" s="246">
        <f t="shared" si="11"/>
        <v>273.29114500000014</v>
      </c>
      <c r="I27" s="246">
        <f t="shared" si="11"/>
        <v>285.94310705000015</v>
      </c>
      <c r="J27" s="246">
        <f t="shared" si="11"/>
        <v>299.25916339449992</v>
      </c>
      <c r="K27" s="246">
        <f t="shared" si="11"/>
        <v>313.27377859590467</v>
      </c>
      <c r="L27" s="246">
        <f t="shared" si="11"/>
        <v>357.57229971442882</v>
      </c>
      <c r="M27" s="247">
        <f t="shared" si="11"/>
        <v>942.98217751562515</v>
      </c>
    </row>
    <row r="28" spans="3:16" ht="10.199999999999999" customHeight="1" x14ac:dyDescent="0.25"/>
    <row r="29" spans="3:16" ht="5.4" customHeight="1" x14ac:dyDescent="0.25"/>
    <row r="30" spans="3:16" x14ac:dyDescent="0.25">
      <c r="C30" s="135" t="s">
        <v>308</v>
      </c>
    </row>
    <row r="32" spans="3:16" ht="15" customHeight="1" x14ac:dyDescent="0.25">
      <c r="C32" s="107" t="s">
        <v>37</v>
      </c>
      <c r="D32" s="108" t="s">
        <v>1</v>
      </c>
      <c r="E32" s="108" t="s">
        <v>2</v>
      </c>
      <c r="F32" s="108" t="s">
        <v>13</v>
      </c>
      <c r="G32" s="108" t="s">
        <v>14</v>
      </c>
      <c r="H32" s="108" t="s">
        <v>15</v>
      </c>
      <c r="I32" s="108" t="s">
        <v>16</v>
      </c>
      <c r="J32" s="108" t="s">
        <v>17</v>
      </c>
      <c r="K32" s="108" t="s">
        <v>18</v>
      </c>
      <c r="L32" s="108" t="s">
        <v>19</v>
      </c>
      <c r="M32" s="109" t="s">
        <v>20</v>
      </c>
    </row>
    <row r="33" spans="3:13" ht="15" customHeight="1" x14ac:dyDescent="0.25">
      <c r="C33" s="95" t="s">
        <v>40</v>
      </c>
      <c r="D33" s="63"/>
      <c r="E33" s="63">
        <f t="shared" ref="E33:L33" si="12">+E9</f>
        <v>4200</v>
      </c>
      <c r="F33" s="63">
        <f t="shared" si="12"/>
        <v>4410</v>
      </c>
      <c r="G33" s="63">
        <f t="shared" si="12"/>
        <v>4630.5</v>
      </c>
      <c r="H33" s="63">
        <f t="shared" si="12"/>
        <v>4862.0250000000005</v>
      </c>
      <c r="I33" s="63">
        <f t="shared" si="12"/>
        <v>5105.1262500000012</v>
      </c>
      <c r="J33" s="63">
        <f t="shared" si="12"/>
        <v>5360.3825625000018</v>
      </c>
      <c r="K33" s="63">
        <f t="shared" si="12"/>
        <v>5628.4016906250017</v>
      </c>
      <c r="L33" s="63">
        <f t="shared" si="12"/>
        <v>5909.8217751562524</v>
      </c>
      <c r="M33" s="99"/>
    </row>
    <row r="34" spans="3:13" ht="15" customHeight="1" x14ac:dyDescent="0.25">
      <c r="C34" s="95" t="s">
        <v>129</v>
      </c>
      <c r="D34" s="63"/>
      <c r="E34" s="63"/>
      <c r="F34" s="63"/>
      <c r="G34" s="63"/>
      <c r="H34" s="63"/>
      <c r="I34" s="63"/>
      <c r="J34" s="63"/>
      <c r="K34" s="63"/>
      <c r="L34" s="63"/>
      <c r="M34" s="99">
        <f>400-(-D48+E37+F37+G37+H37+I37+J37+K37+L37)</f>
        <v>160</v>
      </c>
    </row>
    <row r="35" spans="3:13" ht="15" customHeight="1" x14ac:dyDescent="0.25">
      <c r="C35" s="95" t="s">
        <v>93</v>
      </c>
      <c r="D35" s="63"/>
      <c r="E35" s="63">
        <f>-E33*90%</f>
        <v>-3780</v>
      </c>
      <c r="F35" s="63">
        <f t="shared" ref="F35:L35" si="13">-F33*90%</f>
        <v>-3969</v>
      </c>
      <c r="G35" s="63">
        <f t="shared" si="13"/>
        <v>-4167.45</v>
      </c>
      <c r="H35" s="63">
        <f t="shared" si="13"/>
        <v>-4375.8225000000002</v>
      </c>
      <c r="I35" s="63">
        <f t="shared" si="13"/>
        <v>-4594.6136250000009</v>
      </c>
      <c r="J35" s="63">
        <f t="shared" si="13"/>
        <v>-4824.3443062500019</v>
      </c>
      <c r="K35" s="63">
        <f t="shared" si="13"/>
        <v>-5065.5615215625021</v>
      </c>
      <c r="L35" s="63">
        <f t="shared" si="13"/>
        <v>-5318.8395976406273</v>
      </c>
      <c r="M35" s="99"/>
    </row>
    <row r="36" spans="3:13" ht="15" customHeight="1" x14ac:dyDescent="0.25">
      <c r="C36" s="95" t="s">
        <v>94</v>
      </c>
      <c r="D36" s="63"/>
      <c r="E36" s="63">
        <v>0</v>
      </c>
      <c r="F36" s="63">
        <f t="shared" ref="F36:L36" si="14">+E36*(1+F31)</f>
        <v>0</v>
      </c>
      <c r="G36" s="63">
        <f t="shared" si="14"/>
        <v>0</v>
      </c>
      <c r="H36" s="63">
        <f t="shared" si="14"/>
        <v>0</v>
      </c>
      <c r="I36" s="63">
        <f t="shared" si="14"/>
        <v>0</v>
      </c>
      <c r="J36" s="63">
        <f t="shared" si="14"/>
        <v>0</v>
      </c>
      <c r="K36" s="63">
        <f t="shared" si="14"/>
        <v>0</v>
      </c>
      <c r="L36" s="63">
        <f t="shared" si="14"/>
        <v>0</v>
      </c>
      <c r="M36" s="99"/>
    </row>
    <row r="37" spans="3:13" ht="15" customHeight="1" x14ac:dyDescent="0.25">
      <c r="C37" s="95" t="s">
        <v>30</v>
      </c>
      <c r="D37" s="63"/>
      <c r="E37" s="63">
        <f>+$D$48*10%</f>
        <v>-120</v>
      </c>
      <c r="F37" s="63">
        <f t="shared" ref="F37:L37" si="15">+$D$48*10%</f>
        <v>-120</v>
      </c>
      <c r="G37" s="63">
        <f t="shared" si="15"/>
        <v>-120</v>
      </c>
      <c r="H37" s="63">
        <f t="shared" si="15"/>
        <v>-120</v>
      </c>
      <c r="I37" s="63">
        <f t="shared" si="15"/>
        <v>-120</v>
      </c>
      <c r="J37" s="63">
        <f t="shared" si="15"/>
        <v>-120</v>
      </c>
      <c r="K37" s="63">
        <f t="shared" si="15"/>
        <v>-120</v>
      </c>
      <c r="L37" s="63">
        <f t="shared" si="15"/>
        <v>-120</v>
      </c>
      <c r="M37" s="99"/>
    </row>
    <row r="38" spans="3:13" ht="15" customHeight="1" x14ac:dyDescent="0.25">
      <c r="C38" s="95" t="s">
        <v>84</v>
      </c>
      <c r="D38" s="63"/>
      <c r="E38" s="63">
        <f>-SUM(E33:E37)*30%</f>
        <v>-90</v>
      </c>
      <c r="F38" s="63">
        <f t="shared" ref="F38" si="16">-SUM(F33:F37)*30%</f>
        <v>-96.3</v>
      </c>
      <c r="G38" s="63">
        <f t="shared" ref="G38" si="17">-SUM(G33:G37)*30%</f>
        <v>-102.91500000000005</v>
      </c>
      <c r="H38" s="63">
        <f t="shared" ref="H38" si="18">-SUM(H33:H37)*30%</f>
        <v>-109.8607500000001</v>
      </c>
      <c r="I38" s="63">
        <f t="shared" ref="I38" si="19">-SUM(I33:I37)*30%</f>
        <v>-117.15378750000008</v>
      </c>
      <c r="J38" s="63">
        <f t="shared" ref="J38" si="20">-SUM(J33:J37)*30%</f>
        <v>-124.81147687499997</v>
      </c>
      <c r="K38" s="63">
        <f t="shared" ref="K38" si="21">-SUM(K33:K37)*30%</f>
        <v>-132.85205071874989</v>
      </c>
      <c r="L38" s="63">
        <f t="shared" ref="L38" si="22">-SUM(L33:L37)*30%</f>
        <v>-141.29465325468755</v>
      </c>
      <c r="M38" s="99">
        <f t="shared" ref="M38" si="23">-SUM(M33:M37)*30%</f>
        <v>-48</v>
      </c>
    </row>
    <row r="39" spans="3:13" ht="15" customHeight="1" x14ac:dyDescent="0.25">
      <c r="C39" s="245" t="s">
        <v>95</v>
      </c>
      <c r="D39" s="246"/>
      <c r="E39" s="246">
        <f>SUM(E33:E38)</f>
        <v>210</v>
      </c>
      <c r="F39" s="246">
        <f t="shared" ref="F39" si="24">SUM(F33:F38)</f>
        <v>224.7</v>
      </c>
      <c r="G39" s="246">
        <f t="shared" ref="G39" si="25">SUM(G33:G38)</f>
        <v>240.13500000000013</v>
      </c>
      <c r="H39" s="246">
        <f t="shared" ref="H39" si="26">SUM(H33:H38)</f>
        <v>256.34175000000022</v>
      </c>
      <c r="I39" s="246">
        <f t="shared" ref="I39" si="27">SUM(I33:I38)</f>
        <v>273.35883750000022</v>
      </c>
      <c r="J39" s="246">
        <f t="shared" ref="J39" si="28">SUM(J33:J38)</f>
        <v>291.22677937499992</v>
      </c>
      <c r="K39" s="246">
        <f t="shared" ref="K39" si="29">SUM(K33:K38)</f>
        <v>309.98811834374976</v>
      </c>
      <c r="L39" s="246">
        <f t="shared" ref="L39" si="30">SUM(L33:L38)</f>
        <v>329.68752426093761</v>
      </c>
      <c r="M39" s="247">
        <f t="shared" ref="M39" si="31">SUM(M33:M38)</f>
        <v>112</v>
      </c>
    </row>
    <row r="40" spans="3:13" ht="11.4" customHeight="1" x14ac:dyDescent="0.25"/>
    <row r="41" spans="3:13" ht="7.2" customHeight="1" x14ac:dyDescent="0.25"/>
    <row r="42" spans="3:13" ht="15" customHeight="1" x14ac:dyDescent="0.25">
      <c r="C42" s="108" t="s">
        <v>276</v>
      </c>
      <c r="D42" s="108" t="s">
        <v>1</v>
      </c>
      <c r="E42" s="108" t="s">
        <v>2</v>
      </c>
      <c r="F42" s="108" t="s">
        <v>13</v>
      </c>
      <c r="G42" s="108" t="s">
        <v>14</v>
      </c>
      <c r="H42" s="108" t="s">
        <v>15</v>
      </c>
      <c r="I42" s="108" t="s">
        <v>16</v>
      </c>
      <c r="J42" s="108" t="s">
        <v>17</v>
      </c>
      <c r="K42" s="108" t="s">
        <v>18</v>
      </c>
      <c r="L42" s="108" t="s">
        <v>19</v>
      </c>
      <c r="M42" s="109" t="s">
        <v>20</v>
      </c>
    </row>
    <row r="43" spans="3:13" ht="15" customHeight="1" x14ac:dyDescent="0.25">
      <c r="C43" s="146" t="s">
        <v>189</v>
      </c>
      <c r="D43" s="150"/>
      <c r="E43" s="63">
        <f t="shared" ref="E43:M43" si="32">SUM(E33:E36)*(1-0.3)</f>
        <v>294</v>
      </c>
      <c r="F43" s="63">
        <f t="shared" si="32"/>
        <v>308.7</v>
      </c>
      <c r="G43" s="63">
        <f t="shared" si="32"/>
        <v>324.1350000000001</v>
      </c>
      <c r="H43" s="63">
        <f t="shared" si="32"/>
        <v>340.34175000000022</v>
      </c>
      <c r="I43" s="63">
        <f t="shared" si="32"/>
        <v>357.35883750000016</v>
      </c>
      <c r="J43" s="63">
        <f t="shared" si="32"/>
        <v>375.22677937499992</v>
      </c>
      <c r="K43" s="63">
        <f t="shared" si="32"/>
        <v>393.9881183437497</v>
      </c>
      <c r="L43" s="63">
        <f t="shared" si="32"/>
        <v>413.68752426093761</v>
      </c>
      <c r="M43" s="99">
        <f t="shared" si="32"/>
        <v>112</v>
      </c>
    </row>
    <row r="44" spans="3:13" ht="15" customHeight="1" x14ac:dyDescent="0.25">
      <c r="C44" s="146" t="s">
        <v>190</v>
      </c>
      <c r="D44" s="150"/>
      <c r="E44" s="63">
        <f t="shared" ref="E44:L44" si="33">-E37*0.3</f>
        <v>36</v>
      </c>
      <c r="F44" s="63">
        <f t="shared" si="33"/>
        <v>36</v>
      </c>
      <c r="G44" s="63">
        <f t="shared" si="33"/>
        <v>36</v>
      </c>
      <c r="H44" s="63">
        <f t="shared" si="33"/>
        <v>36</v>
      </c>
      <c r="I44" s="63">
        <f t="shared" si="33"/>
        <v>36</v>
      </c>
      <c r="J44" s="63">
        <f t="shared" si="33"/>
        <v>36</v>
      </c>
      <c r="K44" s="63">
        <f t="shared" si="33"/>
        <v>36</v>
      </c>
      <c r="L44" s="63">
        <f t="shared" si="33"/>
        <v>36</v>
      </c>
      <c r="M44" s="153"/>
    </row>
    <row r="45" spans="3:13" ht="15" customHeight="1" x14ac:dyDescent="0.25">
      <c r="C45" s="146" t="s">
        <v>87</v>
      </c>
      <c r="D45" s="150"/>
      <c r="E45" s="150"/>
      <c r="F45" s="150"/>
      <c r="G45" s="150"/>
      <c r="H45" s="150"/>
      <c r="I45" s="150"/>
      <c r="J45" s="150"/>
      <c r="K45" s="150"/>
      <c r="L45" s="150"/>
      <c r="M45" s="99">
        <f>-D48+E37+F37+G37+H37+I37+J37+K37+L37</f>
        <v>240</v>
      </c>
    </row>
    <row r="46" spans="3:13" ht="15" customHeight="1" x14ac:dyDescent="0.25">
      <c r="C46" s="146" t="s">
        <v>188</v>
      </c>
      <c r="D46" s="150"/>
      <c r="E46" s="150"/>
      <c r="F46" s="150"/>
      <c r="G46" s="150"/>
      <c r="H46" s="150"/>
      <c r="I46" s="150"/>
      <c r="J46" s="150"/>
      <c r="K46" s="150"/>
      <c r="L46" s="150"/>
      <c r="M46" s="99">
        <f>-SUM(D49:K49)</f>
        <v>590.98217751562515</v>
      </c>
    </row>
    <row r="47" spans="3:13" ht="15" customHeight="1" x14ac:dyDescent="0.25">
      <c r="C47" s="95" t="s">
        <v>5</v>
      </c>
      <c r="D47" s="63">
        <f>SUM(D48:D49)</f>
        <v>-1620</v>
      </c>
      <c r="E47" s="63">
        <f t="shared" ref="E47:L47" si="34">SUM(E48:E49)</f>
        <v>-21</v>
      </c>
      <c r="F47" s="63">
        <f t="shared" si="34"/>
        <v>-22.05</v>
      </c>
      <c r="G47" s="63">
        <f t="shared" si="34"/>
        <v>-23.152500000000057</v>
      </c>
      <c r="H47" s="63">
        <f t="shared" si="34"/>
        <v>-24.310125000000063</v>
      </c>
      <c r="I47" s="63">
        <f t="shared" si="34"/>
        <v>-25.52563125000006</v>
      </c>
      <c r="J47" s="63">
        <f t="shared" si="34"/>
        <v>-26.801912812499996</v>
      </c>
      <c r="K47" s="63">
        <f t="shared" si="34"/>
        <v>-28.142008453125072</v>
      </c>
      <c r="L47" s="63">
        <f t="shared" si="34"/>
        <v>0</v>
      </c>
      <c r="M47" s="99"/>
    </row>
    <row r="48" spans="3:13" ht="15" customHeight="1" x14ac:dyDescent="0.25">
      <c r="C48" s="95" t="s">
        <v>98</v>
      </c>
      <c r="D48" s="63">
        <v>-1200</v>
      </c>
      <c r="E48" s="63"/>
      <c r="F48" s="63"/>
      <c r="G48" s="63"/>
      <c r="H48" s="63"/>
      <c r="I48" s="63"/>
      <c r="J48" s="63"/>
      <c r="K48" s="63"/>
      <c r="L48" s="63"/>
      <c r="M48" s="99"/>
    </row>
    <row r="49" spans="3:13" ht="15" customHeight="1" x14ac:dyDescent="0.25">
      <c r="C49" s="95" t="s">
        <v>6</v>
      </c>
      <c r="D49" s="63">
        <v>-420</v>
      </c>
      <c r="E49" s="63">
        <v>-21</v>
      </c>
      <c r="F49" s="63">
        <v>-22.05</v>
      </c>
      <c r="G49" s="63">
        <v>-23.152500000000057</v>
      </c>
      <c r="H49" s="63">
        <v>-24.310125000000063</v>
      </c>
      <c r="I49" s="63">
        <v>-25.52563125000006</v>
      </c>
      <c r="J49" s="63">
        <v>-26.801912812499996</v>
      </c>
      <c r="K49" s="63">
        <v>-28.142008453125072</v>
      </c>
      <c r="L49" s="63"/>
      <c r="M49" s="99"/>
    </row>
    <row r="50" spans="3:13" ht="15" customHeight="1" x14ac:dyDescent="0.25">
      <c r="C50" s="245" t="s">
        <v>85</v>
      </c>
      <c r="D50" s="246">
        <f>SUM(D43:D47)</f>
        <v>-1620</v>
      </c>
      <c r="E50" s="246">
        <f t="shared" ref="E50:M50" si="35">SUM(E43:E47)</f>
        <v>309</v>
      </c>
      <c r="F50" s="246">
        <f t="shared" si="35"/>
        <v>322.64999999999998</v>
      </c>
      <c r="G50" s="246">
        <f t="shared" si="35"/>
        <v>336.98250000000007</v>
      </c>
      <c r="H50" s="246">
        <f t="shared" si="35"/>
        <v>352.03162500000013</v>
      </c>
      <c r="I50" s="246">
        <f t="shared" si="35"/>
        <v>367.8332062500001</v>
      </c>
      <c r="J50" s="246">
        <f t="shared" si="35"/>
        <v>384.42486656249991</v>
      </c>
      <c r="K50" s="246">
        <f t="shared" si="35"/>
        <v>401.84610989062463</v>
      </c>
      <c r="L50" s="246">
        <f t="shared" si="35"/>
        <v>449.68752426093761</v>
      </c>
      <c r="M50" s="247">
        <f t="shared" si="35"/>
        <v>942.98217751562515</v>
      </c>
    </row>
    <row r="54" spans="3:13" x14ac:dyDescent="0.25">
      <c r="E54" s="56"/>
      <c r="F54" s="56"/>
      <c r="G54" s="56"/>
      <c r="H54" s="56"/>
      <c r="I54" s="56"/>
      <c r="J54" s="56"/>
      <c r="K54" s="56"/>
      <c r="L54" s="56"/>
    </row>
  </sheetData>
  <sheetProtection algorithmName="SHA-512" hashValue="aqMKu+Ba9tsNAZsHgeJUj4IfEClXI9h2ri+IvPhsqLTyXPFmLSywTAgzj1IrF8G/u6k/vQstt5WmnPaRYbdm5A==" saltValue="1A7h6mavaZmQu8Futi23Qw==" spinCount="100000" sheet="1" objects="1" scenarios="1"/>
  <mergeCells count="1">
    <mergeCell ref="C1:M1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1:O59"/>
  <sheetViews>
    <sheetView topLeftCell="A31" zoomScaleNormal="100" workbookViewId="0">
      <selection activeCell="D59" sqref="D59"/>
    </sheetView>
  </sheetViews>
  <sheetFormatPr baseColWidth="10" defaultRowHeight="13.8" x14ac:dyDescent="0.25"/>
  <cols>
    <col min="1" max="1" width="11.5546875" style="142"/>
    <col min="2" max="2" width="13.6640625" style="142" customWidth="1"/>
    <col min="3" max="3" width="25.88671875" style="142" customWidth="1"/>
    <col min="4" max="4" width="13" style="142" customWidth="1"/>
    <col min="5" max="5" width="11.109375" style="142" bestFit="1" customWidth="1"/>
    <col min="6" max="6" width="12.33203125" style="142" customWidth="1"/>
    <col min="7" max="7" width="12.5546875" style="142" customWidth="1"/>
    <col min="8" max="9" width="12.109375" style="142" customWidth="1"/>
    <col min="10" max="10" width="11.6640625" style="142" customWidth="1"/>
    <col min="11" max="12" width="11.44140625" style="142"/>
    <col min="13" max="13" width="11.5546875" style="142" bestFit="1"/>
    <col min="14" max="258" width="11.44140625" style="142"/>
    <col min="259" max="259" width="22.88671875" style="142" customWidth="1"/>
    <col min="260" max="260" width="11.44140625" style="142"/>
    <col min="261" max="261" width="12.6640625" style="142" bestFit="1" customWidth="1"/>
    <col min="262" max="514" width="11.44140625" style="142"/>
    <col min="515" max="515" width="22.88671875" style="142" customWidth="1"/>
    <col min="516" max="516" width="11.44140625" style="142"/>
    <col min="517" max="517" width="12.6640625" style="142" bestFit="1" customWidth="1"/>
    <col min="518" max="770" width="11.44140625" style="142"/>
    <col min="771" max="771" width="22.88671875" style="142" customWidth="1"/>
    <col min="772" max="772" width="11.44140625" style="142"/>
    <col min="773" max="773" width="12.6640625" style="142" bestFit="1" customWidth="1"/>
    <col min="774" max="1026" width="11.44140625" style="142"/>
    <col min="1027" max="1027" width="22.88671875" style="142" customWidth="1"/>
    <col min="1028" max="1028" width="11.44140625" style="142"/>
    <col min="1029" max="1029" width="12.6640625" style="142" bestFit="1" customWidth="1"/>
    <col min="1030" max="1282" width="11.44140625" style="142"/>
    <col min="1283" max="1283" width="22.88671875" style="142" customWidth="1"/>
    <col min="1284" max="1284" width="11.44140625" style="142"/>
    <col min="1285" max="1285" width="12.6640625" style="142" bestFit="1" customWidth="1"/>
    <col min="1286" max="1538" width="11.44140625" style="142"/>
    <col min="1539" max="1539" width="22.88671875" style="142" customWidth="1"/>
    <col min="1540" max="1540" width="11.44140625" style="142"/>
    <col min="1541" max="1541" width="12.6640625" style="142" bestFit="1" customWidth="1"/>
    <col min="1542" max="1794" width="11.44140625" style="142"/>
    <col min="1795" max="1795" width="22.88671875" style="142" customWidth="1"/>
    <col min="1796" max="1796" width="11.44140625" style="142"/>
    <col min="1797" max="1797" width="12.6640625" style="142" bestFit="1" customWidth="1"/>
    <col min="1798" max="2050" width="11.44140625" style="142"/>
    <col min="2051" max="2051" width="22.88671875" style="142" customWidth="1"/>
    <col min="2052" max="2052" width="11.44140625" style="142"/>
    <col min="2053" max="2053" width="12.6640625" style="142" bestFit="1" customWidth="1"/>
    <col min="2054" max="2306" width="11.44140625" style="142"/>
    <col min="2307" max="2307" width="22.88671875" style="142" customWidth="1"/>
    <col min="2308" max="2308" width="11.44140625" style="142"/>
    <col min="2309" max="2309" width="12.6640625" style="142" bestFit="1" customWidth="1"/>
    <col min="2310" max="2562" width="11.44140625" style="142"/>
    <col min="2563" max="2563" width="22.88671875" style="142" customWidth="1"/>
    <col min="2564" max="2564" width="11.44140625" style="142"/>
    <col min="2565" max="2565" width="12.6640625" style="142" bestFit="1" customWidth="1"/>
    <col min="2566" max="2818" width="11.44140625" style="142"/>
    <col min="2819" max="2819" width="22.88671875" style="142" customWidth="1"/>
    <col min="2820" max="2820" width="11.44140625" style="142"/>
    <col min="2821" max="2821" width="12.6640625" style="142" bestFit="1" customWidth="1"/>
    <col min="2822" max="3074" width="11.44140625" style="142"/>
    <col min="3075" max="3075" width="22.88671875" style="142" customWidth="1"/>
    <col min="3076" max="3076" width="11.44140625" style="142"/>
    <col min="3077" max="3077" width="12.6640625" style="142" bestFit="1" customWidth="1"/>
    <col min="3078" max="3330" width="11.44140625" style="142"/>
    <col min="3331" max="3331" width="22.88671875" style="142" customWidth="1"/>
    <col min="3332" max="3332" width="11.44140625" style="142"/>
    <col min="3333" max="3333" width="12.6640625" style="142" bestFit="1" customWidth="1"/>
    <col min="3334" max="3586" width="11.44140625" style="142"/>
    <col min="3587" max="3587" width="22.88671875" style="142" customWidth="1"/>
    <col min="3588" max="3588" width="11.44140625" style="142"/>
    <col min="3589" max="3589" width="12.6640625" style="142" bestFit="1" customWidth="1"/>
    <col min="3590" max="3842" width="11.44140625" style="142"/>
    <col min="3843" max="3843" width="22.88671875" style="142" customWidth="1"/>
    <col min="3844" max="3844" width="11.44140625" style="142"/>
    <col min="3845" max="3845" width="12.6640625" style="142" bestFit="1" customWidth="1"/>
    <col min="3846" max="4098" width="11.44140625" style="142"/>
    <col min="4099" max="4099" width="22.88671875" style="142" customWidth="1"/>
    <col min="4100" max="4100" width="11.44140625" style="142"/>
    <col min="4101" max="4101" width="12.6640625" style="142" bestFit="1" customWidth="1"/>
    <col min="4102" max="4354" width="11.44140625" style="142"/>
    <col min="4355" max="4355" width="22.88671875" style="142" customWidth="1"/>
    <col min="4356" max="4356" width="11.44140625" style="142"/>
    <col min="4357" max="4357" width="12.6640625" style="142" bestFit="1" customWidth="1"/>
    <col min="4358" max="4610" width="11.44140625" style="142"/>
    <col min="4611" max="4611" width="22.88671875" style="142" customWidth="1"/>
    <col min="4612" max="4612" width="11.44140625" style="142"/>
    <col min="4613" max="4613" width="12.6640625" style="142" bestFit="1" customWidth="1"/>
    <col min="4614" max="4866" width="11.44140625" style="142"/>
    <col min="4867" max="4867" width="22.88671875" style="142" customWidth="1"/>
    <col min="4868" max="4868" width="11.44140625" style="142"/>
    <col min="4869" max="4869" width="12.6640625" style="142" bestFit="1" customWidth="1"/>
    <col min="4870" max="5122" width="11.44140625" style="142"/>
    <col min="5123" max="5123" width="22.88671875" style="142" customWidth="1"/>
    <col min="5124" max="5124" width="11.44140625" style="142"/>
    <col min="5125" max="5125" width="12.6640625" style="142" bestFit="1" customWidth="1"/>
    <col min="5126" max="5378" width="11.44140625" style="142"/>
    <col min="5379" max="5379" width="22.88671875" style="142" customWidth="1"/>
    <col min="5380" max="5380" width="11.44140625" style="142"/>
    <col min="5381" max="5381" width="12.6640625" style="142" bestFit="1" customWidth="1"/>
    <col min="5382" max="5634" width="11.44140625" style="142"/>
    <col min="5635" max="5635" width="22.88671875" style="142" customWidth="1"/>
    <col min="5636" max="5636" width="11.44140625" style="142"/>
    <col min="5637" max="5637" width="12.6640625" style="142" bestFit="1" customWidth="1"/>
    <col min="5638" max="5890" width="11.44140625" style="142"/>
    <col min="5891" max="5891" width="22.88671875" style="142" customWidth="1"/>
    <col min="5892" max="5892" width="11.44140625" style="142"/>
    <col min="5893" max="5893" width="12.6640625" style="142" bestFit="1" customWidth="1"/>
    <col min="5894" max="6146" width="11.44140625" style="142"/>
    <col min="6147" max="6147" width="22.88671875" style="142" customWidth="1"/>
    <col min="6148" max="6148" width="11.44140625" style="142"/>
    <col min="6149" max="6149" width="12.6640625" style="142" bestFit="1" customWidth="1"/>
    <col min="6150" max="6402" width="11.44140625" style="142"/>
    <col min="6403" max="6403" width="22.88671875" style="142" customWidth="1"/>
    <col min="6404" max="6404" width="11.44140625" style="142"/>
    <col min="6405" max="6405" width="12.6640625" style="142" bestFit="1" customWidth="1"/>
    <col min="6406" max="6658" width="11.44140625" style="142"/>
    <col min="6659" max="6659" width="22.88671875" style="142" customWidth="1"/>
    <col min="6660" max="6660" width="11.44140625" style="142"/>
    <col min="6661" max="6661" width="12.6640625" style="142" bestFit="1" customWidth="1"/>
    <col min="6662" max="6914" width="11.44140625" style="142"/>
    <col min="6915" max="6915" width="22.88671875" style="142" customWidth="1"/>
    <col min="6916" max="6916" width="11.44140625" style="142"/>
    <col min="6917" max="6917" width="12.6640625" style="142" bestFit="1" customWidth="1"/>
    <col min="6918" max="7170" width="11.44140625" style="142"/>
    <col min="7171" max="7171" width="22.88671875" style="142" customWidth="1"/>
    <col min="7172" max="7172" width="11.44140625" style="142"/>
    <col min="7173" max="7173" width="12.6640625" style="142" bestFit="1" customWidth="1"/>
    <col min="7174" max="7426" width="11.44140625" style="142"/>
    <col min="7427" max="7427" width="22.88671875" style="142" customWidth="1"/>
    <col min="7428" max="7428" width="11.44140625" style="142"/>
    <col min="7429" max="7429" width="12.6640625" style="142" bestFit="1" customWidth="1"/>
    <col min="7430" max="7682" width="11.44140625" style="142"/>
    <col min="7683" max="7683" width="22.88671875" style="142" customWidth="1"/>
    <col min="7684" max="7684" width="11.44140625" style="142"/>
    <col min="7685" max="7685" width="12.6640625" style="142" bestFit="1" customWidth="1"/>
    <col min="7686" max="7938" width="11.44140625" style="142"/>
    <col min="7939" max="7939" width="22.88671875" style="142" customWidth="1"/>
    <col min="7940" max="7940" width="11.44140625" style="142"/>
    <col min="7941" max="7941" width="12.6640625" style="142" bestFit="1" customWidth="1"/>
    <col min="7942" max="8194" width="11.44140625" style="142"/>
    <col min="8195" max="8195" width="22.88671875" style="142" customWidth="1"/>
    <col min="8196" max="8196" width="11.44140625" style="142"/>
    <col min="8197" max="8197" width="12.6640625" style="142" bestFit="1" customWidth="1"/>
    <col min="8198" max="8450" width="11.44140625" style="142"/>
    <col min="8451" max="8451" width="22.88671875" style="142" customWidth="1"/>
    <col min="8452" max="8452" width="11.44140625" style="142"/>
    <col min="8453" max="8453" width="12.6640625" style="142" bestFit="1" customWidth="1"/>
    <col min="8454" max="8706" width="11.44140625" style="142"/>
    <col min="8707" max="8707" width="22.88671875" style="142" customWidth="1"/>
    <col min="8708" max="8708" width="11.44140625" style="142"/>
    <col min="8709" max="8709" width="12.6640625" style="142" bestFit="1" customWidth="1"/>
    <col min="8710" max="8962" width="11.44140625" style="142"/>
    <col min="8963" max="8963" width="22.88671875" style="142" customWidth="1"/>
    <col min="8964" max="8964" width="11.44140625" style="142"/>
    <col min="8965" max="8965" width="12.6640625" style="142" bestFit="1" customWidth="1"/>
    <col min="8966" max="9218" width="11.44140625" style="142"/>
    <col min="9219" max="9219" width="22.88671875" style="142" customWidth="1"/>
    <col min="9220" max="9220" width="11.44140625" style="142"/>
    <col min="9221" max="9221" width="12.6640625" style="142" bestFit="1" customWidth="1"/>
    <col min="9222" max="9474" width="11.44140625" style="142"/>
    <col min="9475" max="9475" width="22.88671875" style="142" customWidth="1"/>
    <col min="9476" max="9476" width="11.44140625" style="142"/>
    <col min="9477" max="9477" width="12.6640625" style="142" bestFit="1" customWidth="1"/>
    <col min="9478" max="9730" width="11.44140625" style="142"/>
    <col min="9731" max="9731" width="22.88671875" style="142" customWidth="1"/>
    <col min="9732" max="9732" width="11.44140625" style="142"/>
    <col min="9733" max="9733" width="12.6640625" style="142" bestFit="1" customWidth="1"/>
    <col min="9734" max="9986" width="11.44140625" style="142"/>
    <col min="9987" max="9987" width="22.88671875" style="142" customWidth="1"/>
    <col min="9988" max="9988" width="11.44140625" style="142"/>
    <col min="9989" max="9989" width="12.6640625" style="142" bestFit="1" customWidth="1"/>
    <col min="9990" max="10242" width="11.44140625" style="142"/>
    <col min="10243" max="10243" width="22.88671875" style="142" customWidth="1"/>
    <col min="10244" max="10244" width="11.44140625" style="142"/>
    <col min="10245" max="10245" width="12.6640625" style="142" bestFit="1" customWidth="1"/>
    <col min="10246" max="10498" width="11.44140625" style="142"/>
    <col min="10499" max="10499" width="22.88671875" style="142" customWidth="1"/>
    <col min="10500" max="10500" width="11.44140625" style="142"/>
    <col min="10501" max="10501" width="12.6640625" style="142" bestFit="1" customWidth="1"/>
    <col min="10502" max="10754" width="11.44140625" style="142"/>
    <col min="10755" max="10755" width="22.88671875" style="142" customWidth="1"/>
    <col min="10756" max="10756" width="11.44140625" style="142"/>
    <col min="10757" max="10757" width="12.6640625" style="142" bestFit="1" customWidth="1"/>
    <col min="10758" max="11010" width="11.44140625" style="142"/>
    <col min="11011" max="11011" width="22.88671875" style="142" customWidth="1"/>
    <col min="11012" max="11012" width="11.44140625" style="142"/>
    <col min="11013" max="11013" width="12.6640625" style="142" bestFit="1" customWidth="1"/>
    <col min="11014" max="11266" width="11.44140625" style="142"/>
    <col min="11267" max="11267" width="22.88671875" style="142" customWidth="1"/>
    <col min="11268" max="11268" width="11.44140625" style="142"/>
    <col min="11269" max="11269" width="12.6640625" style="142" bestFit="1" customWidth="1"/>
    <col min="11270" max="11522" width="11.44140625" style="142"/>
    <col min="11523" max="11523" width="22.88671875" style="142" customWidth="1"/>
    <col min="11524" max="11524" width="11.44140625" style="142"/>
    <col min="11525" max="11525" width="12.6640625" style="142" bestFit="1" customWidth="1"/>
    <col min="11526" max="11778" width="11.44140625" style="142"/>
    <col min="11779" max="11779" width="22.88671875" style="142" customWidth="1"/>
    <col min="11780" max="11780" width="11.44140625" style="142"/>
    <col min="11781" max="11781" width="12.6640625" style="142" bestFit="1" customWidth="1"/>
    <col min="11782" max="12034" width="11.44140625" style="142"/>
    <col min="12035" max="12035" width="22.88671875" style="142" customWidth="1"/>
    <col min="12036" max="12036" width="11.44140625" style="142"/>
    <col min="12037" max="12037" width="12.6640625" style="142" bestFit="1" customWidth="1"/>
    <col min="12038" max="12290" width="11.44140625" style="142"/>
    <col min="12291" max="12291" width="22.88671875" style="142" customWidth="1"/>
    <col min="12292" max="12292" width="11.44140625" style="142"/>
    <col min="12293" max="12293" width="12.6640625" style="142" bestFit="1" customWidth="1"/>
    <col min="12294" max="12546" width="11.44140625" style="142"/>
    <col min="12547" max="12547" width="22.88671875" style="142" customWidth="1"/>
    <col min="12548" max="12548" width="11.44140625" style="142"/>
    <col min="12549" max="12549" width="12.6640625" style="142" bestFit="1" customWidth="1"/>
    <col min="12550" max="12802" width="11.44140625" style="142"/>
    <col min="12803" max="12803" width="22.88671875" style="142" customWidth="1"/>
    <col min="12804" max="12804" width="11.44140625" style="142"/>
    <col min="12805" max="12805" width="12.6640625" style="142" bestFit="1" customWidth="1"/>
    <col min="12806" max="13058" width="11.44140625" style="142"/>
    <col min="13059" max="13059" width="22.88671875" style="142" customWidth="1"/>
    <col min="13060" max="13060" width="11.44140625" style="142"/>
    <col min="13061" max="13061" width="12.6640625" style="142" bestFit="1" customWidth="1"/>
    <col min="13062" max="13314" width="11.44140625" style="142"/>
    <col min="13315" max="13315" width="22.88671875" style="142" customWidth="1"/>
    <col min="13316" max="13316" width="11.44140625" style="142"/>
    <col min="13317" max="13317" width="12.6640625" style="142" bestFit="1" customWidth="1"/>
    <col min="13318" max="13570" width="11.44140625" style="142"/>
    <col min="13571" max="13571" width="22.88671875" style="142" customWidth="1"/>
    <col min="13572" max="13572" width="11.44140625" style="142"/>
    <col min="13573" max="13573" width="12.6640625" style="142" bestFit="1" customWidth="1"/>
    <col min="13574" max="13826" width="11.44140625" style="142"/>
    <col min="13827" max="13827" width="22.88671875" style="142" customWidth="1"/>
    <col min="13828" max="13828" width="11.44140625" style="142"/>
    <col min="13829" max="13829" width="12.6640625" style="142" bestFit="1" customWidth="1"/>
    <col min="13830" max="14082" width="11.44140625" style="142"/>
    <col min="14083" max="14083" width="22.88671875" style="142" customWidth="1"/>
    <col min="14084" max="14084" width="11.44140625" style="142"/>
    <col min="14085" max="14085" width="12.6640625" style="142" bestFit="1" customWidth="1"/>
    <col min="14086" max="14338" width="11.44140625" style="142"/>
    <col min="14339" max="14339" width="22.88671875" style="142" customWidth="1"/>
    <col min="14340" max="14340" width="11.44140625" style="142"/>
    <col min="14341" max="14341" width="12.6640625" style="142" bestFit="1" customWidth="1"/>
    <col min="14342" max="14594" width="11.44140625" style="142"/>
    <col min="14595" max="14595" width="22.88671875" style="142" customWidth="1"/>
    <col min="14596" max="14596" width="11.44140625" style="142"/>
    <col min="14597" max="14597" width="12.6640625" style="142" bestFit="1" customWidth="1"/>
    <col min="14598" max="14850" width="11.44140625" style="142"/>
    <col min="14851" max="14851" width="22.88671875" style="142" customWidth="1"/>
    <col min="14852" max="14852" width="11.44140625" style="142"/>
    <col min="14853" max="14853" width="12.6640625" style="142" bestFit="1" customWidth="1"/>
    <col min="14854" max="15106" width="11.44140625" style="142"/>
    <col min="15107" max="15107" width="22.88671875" style="142" customWidth="1"/>
    <col min="15108" max="15108" width="11.44140625" style="142"/>
    <col min="15109" max="15109" width="12.6640625" style="142" bestFit="1" customWidth="1"/>
    <col min="15110" max="15362" width="11.44140625" style="142"/>
    <col min="15363" max="15363" width="22.88671875" style="142" customWidth="1"/>
    <col min="15364" max="15364" width="11.44140625" style="142"/>
    <col min="15365" max="15365" width="12.6640625" style="142" bestFit="1" customWidth="1"/>
    <col min="15366" max="15618" width="11.44140625" style="142"/>
    <col min="15619" max="15619" width="22.88671875" style="142" customWidth="1"/>
    <col min="15620" max="15620" width="11.44140625" style="142"/>
    <col min="15621" max="15621" width="12.6640625" style="142" bestFit="1" customWidth="1"/>
    <col min="15622" max="15874" width="11.44140625" style="142"/>
    <col min="15875" max="15875" width="22.88671875" style="142" customWidth="1"/>
    <col min="15876" max="15876" width="11.44140625" style="142"/>
    <col min="15877" max="15877" width="12.6640625" style="142" bestFit="1" customWidth="1"/>
    <col min="15878" max="16130" width="11.44140625" style="142"/>
    <col min="16131" max="16131" width="22.88671875" style="142" customWidth="1"/>
    <col min="16132" max="16132" width="11.44140625" style="142"/>
    <col min="16133" max="16133" width="12.6640625" style="142" bestFit="1" customWidth="1"/>
    <col min="16134" max="16384" width="11.44140625" style="142"/>
  </cols>
  <sheetData>
    <row r="1" spans="2:13" s="66" customFormat="1" ht="19.95" customHeight="1" x14ac:dyDescent="0.25">
      <c r="C1" s="353" t="s">
        <v>310</v>
      </c>
      <c r="D1" s="353"/>
      <c r="E1" s="353"/>
      <c r="F1" s="353"/>
      <c r="G1" s="353"/>
      <c r="H1" s="353"/>
      <c r="I1" s="353"/>
      <c r="J1" s="353"/>
      <c r="K1" s="125"/>
      <c r="L1" s="125"/>
      <c r="M1" s="125"/>
    </row>
    <row r="3" spans="2:13" x14ac:dyDescent="0.25">
      <c r="B3" s="141" t="s">
        <v>68</v>
      </c>
      <c r="C3" s="270"/>
      <c r="D3" s="287" t="s">
        <v>1</v>
      </c>
      <c r="E3" s="287" t="s">
        <v>2</v>
      </c>
      <c r="F3" s="287" t="s">
        <v>13</v>
      </c>
      <c r="G3" s="287" t="s">
        <v>14</v>
      </c>
      <c r="H3" s="287" t="s">
        <v>15</v>
      </c>
      <c r="I3" s="287" t="s">
        <v>16</v>
      </c>
      <c r="J3" s="288" t="s">
        <v>17</v>
      </c>
    </row>
    <row r="4" spans="2:13" ht="14.4" customHeight="1" x14ac:dyDescent="0.25">
      <c r="C4" s="95" t="s">
        <v>238</v>
      </c>
      <c r="D4" s="150"/>
      <c r="E4" s="151">
        <v>0.1</v>
      </c>
      <c r="F4" s="151">
        <v>0.1</v>
      </c>
      <c r="G4" s="151">
        <v>0.1</v>
      </c>
      <c r="H4" s="152"/>
      <c r="I4" s="152"/>
      <c r="J4" s="153"/>
    </row>
    <row r="5" spans="2:13" ht="14.4" customHeight="1" x14ac:dyDescent="0.25">
      <c r="C5" s="146" t="s">
        <v>99</v>
      </c>
      <c r="D5" s="150"/>
      <c r="E5" s="120">
        <v>18000</v>
      </c>
      <c r="F5" s="120">
        <f>+E5*(1+F4)</f>
        <v>19800</v>
      </c>
      <c r="G5" s="120">
        <f>+F5*(1+G4)</f>
        <v>21780</v>
      </c>
      <c r="H5" s="120">
        <f>+G5</f>
        <v>21780</v>
      </c>
      <c r="I5" s="120">
        <f>+H5</f>
        <v>21780</v>
      </c>
      <c r="J5" s="99"/>
    </row>
    <row r="6" spans="2:13" ht="14.4" customHeight="1" x14ac:dyDescent="0.25">
      <c r="C6" s="154" t="s">
        <v>100</v>
      </c>
      <c r="D6" s="155"/>
      <c r="E6" s="156">
        <v>15</v>
      </c>
      <c r="F6" s="156"/>
      <c r="G6" s="156"/>
      <c r="H6" s="156"/>
      <c r="I6" s="156"/>
      <c r="J6" s="100"/>
      <c r="K6" s="143"/>
    </row>
    <row r="7" spans="2:13" ht="6.6" customHeight="1" x14ac:dyDescent="0.25">
      <c r="E7" s="144"/>
      <c r="F7" s="144"/>
      <c r="G7" s="144"/>
      <c r="H7" s="144"/>
      <c r="I7" s="144"/>
      <c r="J7" s="118"/>
      <c r="K7" s="143"/>
    </row>
    <row r="8" spans="2:13" ht="15" customHeight="1" x14ac:dyDescent="0.25">
      <c r="C8" s="88" t="s">
        <v>277</v>
      </c>
      <c r="D8" s="87">
        <v>0.3</v>
      </c>
      <c r="E8" s="118"/>
      <c r="F8" s="118"/>
      <c r="G8" s="118"/>
      <c r="H8" s="118"/>
      <c r="I8" s="118"/>
      <c r="J8" s="118"/>
      <c r="K8" s="143"/>
    </row>
    <row r="9" spans="2:13" ht="15" customHeight="1" x14ac:dyDescent="0.25">
      <c r="C9" s="88" t="s">
        <v>185</v>
      </c>
      <c r="D9" s="87">
        <v>0.1</v>
      </c>
      <c r="E9" s="118"/>
      <c r="F9" s="118"/>
      <c r="G9" s="118"/>
      <c r="H9" s="118"/>
      <c r="I9" s="118"/>
      <c r="J9" s="118"/>
      <c r="K9" s="143"/>
    </row>
    <row r="10" spans="2:13" ht="8.4" customHeight="1" x14ac:dyDescent="0.25">
      <c r="D10" s="145"/>
      <c r="E10" s="118"/>
      <c r="F10" s="118"/>
      <c r="G10" s="118"/>
      <c r="H10" s="118"/>
      <c r="I10" s="118"/>
      <c r="J10" s="118"/>
      <c r="K10" s="143"/>
    </row>
    <row r="11" spans="2:13" x14ac:dyDescent="0.25">
      <c r="C11" s="301"/>
      <c r="D11" s="287" t="s">
        <v>1</v>
      </c>
      <c r="E11" s="287" t="s">
        <v>2</v>
      </c>
      <c r="F11" s="287" t="s">
        <v>13</v>
      </c>
      <c r="G11" s="287" t="s">
        <v>14</v>
      </c>
      <c r="H11" s="287" t="s">
        <v>15</v>
      </c>
      <c r="I11" s="288" t="s">
        <v>16</v>
      </c>
      <c r="J11" s="118"/>
      <c r="K11" s="143"/>
    </row>
    <row r="12" spans="2:13" ht="14.4" customHeight="1" x14ac:dyDescent="0.25">
      <c r="C12" s="146" t="s">
        <v>101</v>
      </c>
      <c r="D12" s="63">
        <f>+D45</f>
        <v>60000</v>
      </c>
      <c r="E12" s="63">
        <f>+D12-E13</f>
        <v>60000</v>
      </c>
      <c r="F12" s="63">
        <f>+E12-F13</f>
        <v>47071.751777634126</v>
      </c>
      <c r="G12" s="63">
        <f>+F12-G13</f>
        <v>32850.678733031673</v>
      </c>
      <c r="H12" s="63">
        <f>+G12-H13</f>
        <v>17207.49838396897</v>
      </c>
      <c r="I12" s="99">
        <f>+H12-I13</f>
        <v>0</v>
      </c>
      <c r="J12" s="118"/>
    </row>
    <row r="13" spans="2:13" ht="14.4" customHeight="1" x14ac:dyDescent="0.25">
      <c r="C13" s="146" t="s">
        <v>102</v>
      </c>
      <c r="D13" s="63"/>
      <c r="E13" s="63">
        <v>0</v>
      </c>
      <c r="F13" s="63">
        <f>+F15-F14</f>
        <v>12928.24822236587</v>
      </c>
      <c r="G13" s="63">
        <f>+G15-G14</f>
        <v>14221.073044602457</v>
      </c>
      <c r="H13" s="63">
        <f>+H15-H14</f>
        <v>15643.180349062703</v>
      </c>
      <c r="I13" s="99">
        <f>+I15-I14</f>
        <v>17207.498383968974</v>
      </c>
      <c r="J13" s="118"/>
    </row>
    <row r="14" spans="2:13" ht="14.4" customHeight="1" x14ac:dyDescent="0.25">
      <c r="C14" s="146" t="s">
        <v>103</v>
      </c>
      <c r="D14" s="63"/>
      <c r="E14" s="63">
        <f>+D12*$D$9</f>
        <v>6000</v>
      </c>
      <c r="F14" s="63">
        <f>+E12*$D$9</f>
        <v>6000</v>
      </c>
      <c r="G14" s="63">
        <f t="shared" ref="G14:I14" si="0">+F12*$D$9</f>
        <v>4707.1751777634126</v>
      </c>
      <c r="H14" s="63">
        <f t="shared" si="0"/>
        <v>3285.0678733031673</v>
      </c>
      <c r="I14" s="99">
        <f t="shared" si="0"/>
        <v>1720.7498383968971</v>
      </c>
      <c r="J14" s="118"/>
    </row>
    <row r="15" spans="2:13" ht="14.4" customHeight="1" x14ac:dyDescent="0.25">
      <c r="C15" s="162" t="s">
        <v>104</v>
      </c>
      <c r="D15" s="93"/>
      <c r="E15" s="93">
        <f>+E13+E14</f>
        <v>6000</v>
      </c>
      <c r="F15" s="93">
        <f>PMT($D$9,4,-$D$12)</f>
        <v>18928.24822236587</v>
      </c>
      <c r="G15" s="93">
        <f>PMT($D$9,4,-$D$12)</f>
        <v>18928.24822236587</v>
      </c>
      <c r="H15" s="93">
        <f>PMT($D$9,4,-$D$12)</f>
        <v>18928.24822236587</v>
      </c>
      <c r="I15" s="111">
        <f>PMT($D$9,4,-$D$12)</f>
        <v>18928.24822236587</v>
      </c>
      <c r="J15" s="118"/>
    </row>
    <row r="16" spans="2:13" ht="15" customHeight="1" x14ac:dyDescent="0.25">
      <c r="D16" s="145"/>
      <c r="E16" s="118"/>
      <c r="F16" s="118"/>
      <c r="G16" s="118"/>
      <c r="H16" s="118"/>
      <c r="I16" s="118"/>
      <c r="J16" s="118"/>
    </row>
    <row r="17" spans="3:15" ht="7.95" customHeight="1" x14ac:dyDescent="0.25">
      <c r="E17" s="118"/>
      <c r="F17" s="118"/>
      <c r="G17" s="118"/>
      <c r="H17" s="118"/>
      <c r="I17" s="118"/>
      <c r="J17" s="118"/>
    </row>
    <row r="18" spans="3:15" ht="14.4" customHeight="1" x14ac:dyDescent="0.25">
      <c r="C18" s="332" t="s">
        <v>37</v>
      </c>
      <c r="D18" s="287" t="s">
        <v>1</v>
      </c>
      <c r="E18" s="287" t="s">
        <v>2</v>
      </c>
      <c r="F18" s="287" t="s">
        <v>13</v>
      </c>
      <c r="G18" s="287" t="s">
        <v>14</v>
      </c>
      <c r="H18" s="287" t="s">
        <v>15</v>
      </c>
      <c r="I18" s="287" t="s">
        <v>16</v>
      </c>
      <c r="J18" s="288" t="s">
        <v>17</v>
      </c>
    </row>
    <row r="19" spans="3:15" ht="14.4" customHeight="1" x14ac:dyDescent="0.25">
      <c r="C19" s="146" t="s">
        <v>40</v>
      </c>
      <c r="D19" s="150"/>
      <c r="E19" s="63">
        <f>+E5*$E$6</f>
        <v>270000</v>
      </c>
      <c r="F19" s="63">
        <f>+F5*$E$6</f>
        <v>297000</v>
      </c>
      <c r="G19" s="63">
        <f>+G5*$E$6</f>
        <v>326700</v>
      </c>
      <c r="H19" s="63">
        <f>+H5*$E$6</f>
        <v>326700</v>
      </c>
      <c r="I19" s="63">
        <f>+I5*$E$6</f>
        <v>326700</v>
      </c>
      <c r="J19" s="99"/>
    </row>
    <row r="20" spans="3:15" ht="14.4" customHeight="1" x14ac:dyDescent="0.25">
      <c r="C20" s="146" t="s">
        <v>129</v>
      </c>
      <c r="D20" s="150"/>
      <c r="E20" s="63"/>
      <c r="F20" s="63"/>
      <c r="G20" s="63"/>
      <c r="H20" s="63"/>
      <c r="I20" s="63"/>
      <c r="J20" s="99">
        <f>+(-D40+E25+F25+G25+H25+I25)*0.2</f>
        <v>9500</v>
      </c>
      <c r="L20" s="118"/>
    </row>
    <row r="21" spans="3:15" ht="14.4" customHeight="1" x14ac:dyDescent="0.25">
      <c r="C21" s="146" t="s">
        <v>105</v>
      </c>
      <c r="D21" s="157"/>
      <c r="E21" s="63">
        <f>-5*E5</f>
        <v>-90000</v>
      </c>
      <c r="F21" s="63">
        <f t="shared" ref="F21:I21" si="1">-5*F5</f>
        <v>-99000</v>
      </c>
      <c r="G21" s="63">
        <f t="shared" si="1"/>
        <v>-108900</v>
      </c>
      <c r="H21" s="63">
        <f t="shared" si="1"/>
        <v>-108900</v>
      </c>
      <c r="I21" s="63">
        <f t="shared" si="1"/>
        <v>-108900</v>
      </c>
      <c r="J21" s="99"/>
    </row>
    <row r="22" spans="3:15" ht="14.4" customHeight="1" x14ac:dyDescent="0.25">
      <c r="C22" s="146" t="s">
        <v>106</v>
      </c>
      <c r="D22" s="157"/>
      <c r="E22" s="63">
        <f>-1.35*E5</f>
        <v>-24300</v>
      </c>
      <c r="F22" s="63">
        <f t="shared" ref="F22:I22" si="2">-1.35*F5</f>
        <v>-26730</v>
      </c>
      <c r="G22" s="63">
        <f t="shared" si="2"/>
        <v>-29403.000000000004</v>
      </c>
      <c r="H22" s="63">
        <f t="shared" si="2"/>
        <v>-29403.000000000004</v>
      </c>
      <c r="I22" s="63">
        <f t="shared" si="2"/>
        <v>-29403.000000000004</v>
      </c>
      <c r="J22" s="99"/>
    </row>
    <row r="23" spans="3:15" ht="14.4" customHeight="1" x14ac:dyDescent="0.25">
      <c r="C23" s="146" t="s">
        <v>107</v>
      </c>
      <c r="D23" s="157"/>
      <c r="E23" s="63">
        <v>-5000</v>
      </c>
      <c r="F23" s="63">
        <v>-5000</v>
      </c>
      <c r="G23" s="63">
        <v>-5000</v>
      </c>
      <c r="H23" s="63">
        <v>-5000</v>
      </c>
      <c r="I23" s="63">
        <v>-5000</v>
      </c>
      <c r="J23" s="99"/>
      <c r="L23" s="118"/>
    </row>
    <row r="24" spans="3:15" ht="14.4" customHeight="1" x14ac:dyDescent="0.25">
      <c r="C24" s="146" t="s">
        <v>108</v>
      </c>
      <c r="D24" s="157"/>
      <c r="E24" s="63">
        <v>-15000</v>
      </c>
      <c r="F24" s="63">
        <v>-15000</v>
      </c>
      <c r="G24" s="63">
        <v>-15000</v>
      </c>
      <c r="H24" s="63">
        <v>-15000</v>
      </c>
      <c r="I24" s="63">
        <v>-15000</v>
      </c>
      <c r="J24" s="99"/>
      <c r="L24" s="118"/>
    </row>
    <row r="25" spans="3:15" ht="14.4" customHeight="1" x14ac:dyDescent="0.25">
      <c r="C25" s="146" t="s">
        <v>30</v>
      </c>
      <c r="D25" s="157"/>
      <c r="E25" s="63">
        <f>$D$40*10%</f>
        <v>-9500</v>
      </c>
      <c r="F25" s="63">
        <f t="shared" ref="F25:I25" si="3">$D$40*10%</f>
        <v>-9500</v>
      </c>
      <c r="G25" s="63">
        <f t="shared" si="3"/>
        <v>-9500</v>
      </c>
      <c r="H25" s="63">
        <f t="shared" si="3"/>
        <v>-9500</v>
      </c>
      <c r="I25" s="63">
        <f t="shared" si="3"/>
        <v>-9500</v>
      </c>
      <c r="J25" s="99"/>
      <c r="L25" s="118"/>
    </row>
    <row r="26" spans="3:15" ht="14.4" customHeight="1" x14ac:dyDescent="0.25">
      <c r="C26" s="146" t="s">
        <v>84</v>
      </c>
      <c r="D26" s="158"/>
      <c r="E26" s="63">
        <f>-SUM(E19:E25)*$D$8</f>
        <v>-37860</v>
      </c>
      <c r="F26" s="63">
        <f t="shared" ref="F26:J26" si="4">-SUM(F19:F25)*$D$8</f>
        <v>-42531</v>
      </c>
      <c r="G26" s="63">
        <f t="shared" si="4"/>
        <v>-47669.1</v>
      </c>
      <c r="H26" s="63">
        <f t="shared" si="4"/>
        <v>-47669.1</v>
      </c>
      <c r="I26" s="63">
        <f t="shared" si="4"/>
        <v>-47669.1</v>
      </c>
      <c r="J26" s="99">
        <f t="shared" si="4"/>
        <v>-2850</v>
      </c>
    </row>
    <row r="27" spans="3:15" ht="14.4" customHeight="1" x14ac:dyDescent="0.25">
      <c r="C27" s="147" t="s">
        <v>39</v>
      </c>
      <c r="D27" s="148"/>
      <c r="E27" s="148">
        <f>SUM(E19:E26)</f>
        <v>88340</v>
      </c>
      <c r="F27" s="148">
        <f t="shared" ref="F27:J27" si="5">SUM(F19:F26)</f>
        <v>99239</v>
      </c>
      <c r="G27" s="148">
        <f t="shared" si="5"/>
        <v>111227.9</v>
      </c>
      <c r="H27" s="148">
        <f t="shared" si="5"/>
        <v>111227.9</v>
      </c>
      <c r="I27" s="148">
        <f t="shared" si="5"/>
        <v>111227.9</v>
      </c>
      <c r="J27" s="149">
        <f t="shared" si="5"/>
        <v>6650</v>
      </c>
      <c r="L27" s="118"/>
      <c r="M27" s="118"/>
      <c r="N27" s="118"/>
      <c r="O27" s="118"/>
    </row>
    <row r="28" spans="3:15" ht="9.6" customHeight="1" x14ac:dyDescent="0.25">
      <c r="E28" s="118"/>
      <c r="F28" s="118"/>
      <c r="G28" s="118"/>
      <c r="H28" s="118"/>
      <c r="I28" s="118"/>
      <c r="J28" s="118"/>
    </row>
    <row r="29" spans="3:15" ht="6.6" customHeight="1" x14ac:dyDescent="0.25">
      <c r="E29" s="118"/>
      <c r="F29" s="118"/>
      <c r="G29" s="118"/>
      <c r="H29" s="118"/>
      <c r="I29" s="118"/>
      <c r="J29" s="118"/>
    </row>
    <row r="30" spans="3:15" x14ac:dyDescent="0.25">
      <c r="C30" s="337" t="s">
        <v>0</v>
      </c>
      <c r="D30" s="287" t="s">
        <v>1</v>
      </c>
      <c r="E30" s="287" t="s">
        <v>2</v>
      </c>
      <c r="F30" s="287" t="s">
        <v>13</v>
      </c>
      <c r="G30" s="287" t="s">
        <v>14</v>
      </c>
      <c r="H30" s="287" t="s">
        <v>15</v>
      </c>
      <c r="I30" s="287" t="s">
        <v>16</v>
      </c>
      <c r="J30" s="288" t="s">
        <v>17</v>
      </c>
    </row>
    <row r="31" spans="3:15" x14ac:dyDescent="0.25">
      <c r="C31" s="146" t="s">
        <v>40</v>
      </c>
      <c r="D31" s="150"/>
      <c r="E31" s="63">
        <f t="shared" ref="E31:I31" si="6">+E19</f>
        <v>270000</v>
      </c>
      <c r="F31" s="63">
        <f t="shared" si="6"/>
        <v>297000</v>
      </c>
      <c r="G31" s="63">
        <f t="shared" si="6"/>
        <v>326700</v>
      </c>
      <c r="H31" s="63">
        <f t="shared" si="6"/>
        <v>326700</v>
      </c>
      <c r="I31" s="63">
        <f t="shared" si="6"/>
        <v>326700</v>
      </c>
      <c r="J31" s="99"/>
    </row>
    <row r="32" spans="3:15" x14ac:dyDescent="0.25">
      <c r="C32" s="146" t="s">
        <v>109</v>
      </c>
      <c r="D32" s="150"/>
      <c r="E32" s="63"/>
      <c r="F32" s="63"/>
      <c r="G32" s="63"/>
      <c r="H32" s="63"/>
      <c r="I32" s="63"/>
      <c r="J32" s="99">
        <f>-D41</f>
        <v>5000</v>
      </c>
    </row>
    <row r="33" spans="3:10" x14ac:dyDescent="0.25">
      <c r="C33" s="146" t="s">
        <v>110</v>
      </c>
      <c r="D33" s="150"/>
      <c r="E33" s="63"/>
      <c r="F33" s="63"/>
      <c r="G33" s="63"/>
      <c r="H33" s="63"/>
      <c r="I33" s="63"/>
      <c r="J33" s="99">
        <f>(SUM(E25:I25)-D40)*1.2</f>
        <v>57000</v>
      </c>
    </row>
    <row r="34" spans="3:10" x14ac:dyDescent="0.25">
      <c r="C34" s="146" t="s">
        <v>105</v>
      </c>
      <c r="D34" s="150"/>
      <c r="E34" s="63">
        <f t="shared" ref="E34:I37" si="7">+E21</f>
        <v>-90000</v>
      </c>
      <c r="F34" s="63">
        <f t="shared" si="7"/>
        <v>-99000</v>
      </c>
      <c r="G34" s="63">
        <f t="shared" si="7"/>
        <v>-108900</v>
      </c>
      <c r="H34" s="63">
        <f t="shared" si="7"/>
        <v>-108900</v>
      </c>
      <c r="I34" s="63">
        <f t="shared" si="7"/>
        <v>-108900</v>
      </c>
      <c r="J34" s="99"/>
    </row>
    <row r="35" spans="3:10" x14ac:dyDescent="0.25">
      <c r="C35" s="146" t="s">
        <v>106</v>
      </c>
      <c r="D35" s="161"/>
      <c r="E35" s="63">
        <f t="shared" si="7"/>
        <v>-24300</v>
      </c>
      <c r="F35" s="63">
        <f t="shared" si="7"/>
        <v>-26730</v>
      </c>
      <c r="G35" s="63">
        <f t="shared" si="7"/>
        <v>-29403.000000000004</v>
      </c>
      <c r="H35" s="63">
        <f t="shared" si="7"/>
        <v>-29403.000000000004</v>
      </c>
      <c r="I35" s="63">
        <f t="shared" si="7"/>
        <v>-29403.000000000004</v>
      </c>
      <c r="J35" s="99"/>
    </row>
    <row r="36" spans="3:10" x14ac:dyDescent="0.25">
      <c r="C36" s="146" t="s">
        <v>107</v>
      </c>
      <c r="D36" s="150"/>
      <c r="E36" s="63">
        <f t="shared" si="7"/>
        <v>-5000</v>
      </c>
      <c r="F36" s="63">
        <f t="shared" si="7"/>
        <v>-5000</v>
      </c>
      <c r="G36" s="63">
        <f t="shared" si="7"/>
        <v>-5000</v>
      </c>
      <c r="H36" s="63">
        <f t="shared" si="7"/>
        <v>-5000</v>
      </c>
      <c r="I36" s="63">
        <f t="shared" si="7"/>
        <v>-5000</v>
      </c>
      <c r="J36" s="99"/>
    </row>
    <row r="37" spans="3:10" x14ac:dyDescent="0.25">
      <c r="C37" s="146" t="s">
        <v>108</v>
      </c>
      <c r="D37" s="150"/>
      <c r="E37" s="63">
        <f t="shared" si="7"/>
        <v>-15000</v>
      </c>
      <c r="F37" s="63">
        <f t="shared" si="7"/>
        <v>-15000</v>
      </c>
      <c r="G37" s="63">
        <f t="shared" si="7"/>
        <v>-15000</v>
      </c>
      <c r="H37" s="63">
        <f t="shared" si="7"/>
        <v>-15000</v>
      </c>
      <c r="I37" s="63">
        <f t="shared" si="7"/>
        <v>-15000</v>
      </c>
      <c r="J37" s="99"/>
    </row>
    <row r="38" spans="3:10" x14ac:dyDescent="0.25">
      <c r="C38" s="146" t="s">
        <v>84</v>
      </c>
      <c r="D38" s="150"/>
      <c r="E38" s="63">
        <f t="shared" ref="E38:J38" si="8">+E26</f>
        <v>-37860</v>
      </c>
      <c r="F38" s="63">
        <f t="shared" si="8"/>
        <v>-42531</v>
      </c>
      <c r="G38" s="63">
        <f t="shared" si="8"/>
        <v>-47669.1</v>
      </c>
      <c r="H38" s="63">
        <f t="shared" si="8"/>
        <v>-47669.1</v>
      </c>
      <c r="I38" s="63">
        <f t="shared" si="8"/>
        <v>-47669.1</v>
      </c>
      <c r="J38" s="99">
        <f t="shared" si="8"/>
        <v>-2850</v>
      </c>
    </row>
    <row r="39" spans="3:10" x14ac:dyDescent="0.25">
      <c r="C39" s="146" t="s">
        <v>5</v>
      </c>
      <c r="D39" s="63">
        <f>SUM(D40:D41)</f>
        <v>-100000</v>
      </c>
      <c r="E39" s="63">
        <f t="shared" ref="E39:I39" si="9">SUM(E40:E41)</f>
        <v>0</v>
      </c>
      <c r="F39" s="63">
        <f t="shared" si="9"/>
        <v>0</v>
      </c>
      <c r="G39" s="63">
        <f t="shared" si="9"/>
        <v>0</v>
      </c>
      <c r="H39" s="63">
        <f t="shared" si="9"/>
        <v>0</v>
      </c>
      <c r="I39" s="63">
        <f t="shared" si="9"/>
        <v>0</v>
      </c>
      <c r="J39" s="99"/>
    </row>
    <row r="40" spans="3:10" x14ac:dyDescent="0.25">
      <c r="C40" s="146" t="s">
        <v>144</v>
      </c>
      <c r="D40" s="63">
        <v>-95000</v>
      </c>
      <c r="E40" s="63"/>
      <c r="F40" s="63"/>
      <c r="G40" s="63"/>
      <c r="H40" s="63"/>
      <c r="I40" s="63"/>
      <c r="J40" s="99"/>
    </row>
    <row r="41" spans="3:10" x14ac:dyDescent="0.25">
      <c r="C41" s="146" t="s">
        <v>6</v>
      </c>
      <c r="D41" s="63">
        <v>-5000</v>
      </c>
      <c r="E41" s="63"/>
      <c r="F41" s="63"/>
      <c r="G41" s="63"/>
      <c r="H41" s="63"/>
      <c r="I41" s="63"/>
      <c r="J41" s="99"/>
    </row>
    <row r="42" spans="3:10" x14ac:dyDescent="0.25">
      <c r="C42" s="162" t="s">
        <v>7</v>
      </c>
      <c r="D42" s="93">
        <f>SUM(D31:D39)</f>
        <v>-100000</v>
      </c>
      <c r="E42" s="93">
        <f>SUM(E31:E39)</f>
        <v>97840</v>
      </c>
      <c r="F42" s="93">
        <f t="shared" ref="F42:I42" si="10">SUM(F31:F39)</f>
        <v>108739</v>
      </c>
      <c r="G42" s="93">
        <f t="shared" si="10"/>
        <v>120727.9</v>
      </c>
      <c r="H42" s="93">
        <f t="shared" si="10"/>
        <v>120727.9</v>
      </c>
      <c r="I42" s="93">
        <f t="shared" si="10"/>
        <v>120727.9</v>
      </c>
      <c r="J42" s="111">
        <f>SUM(J31:J39)</f>
        <v>59150</v>
      </c>
    </row>
    <row r="43" spans="3:10" x14ac:dyDescent="0.25">
      <c r="C43" s="146" t="s">
        <v>111</v>
      </c>
      <c r="D43" s="63"/>
      <c r="E43" s="63">
        <f>-E15</f>
        <v>-6000</v>
      </c>
      <c r="F43" s="63">
        <f t="shared" ref="F43:I43" si="11">-F15</f>
        <v>-18928.24822236587</v>
      </c>
      <c r="G43" s="63">
        <f t="shared" si="11"/>
        <v>-18928.24822236587</v>
      </c>
      <c r="H43" s="63">
        <f t="shared" si="11"/>
        <v>-18928.24822236587</v>
      </c>
      <c r="I43" s="63">
        <f t="shared" si="11"/>
        <v>-18928.24822236587</v>
      </c>
      <c r="J43" s="99"/>
    </row>
    <row r="44" spans="3:10" x14ac:dyDescent="0.25">
      <c r="C44" s="146" t="s">
        <v>112</v>
      </c>
      <c r="D44" s="63"/>
      <c r="E44" s="63">
        <f>+E14*$D$8</f>
        <v>1800</v>
      </c>
      <c r="F44" s="63">
        <f t="shared" ref="F44:I44" si="12">+F14*$D$8</f>
        <v>1800</v>
      </c>
      <c r="G44" s="63">
        <f t="shared" si="12"/>
        <v>1412.1525533290237</v>
      </c>
      <c r="H44" s="63">
        <f t="shared" si="12"/>
        <v>985.52036199095016</v>
      </c>
      <c r="I44" s="63">
        <f t="shared" si="12"/>
        <v>516.22495151906912</v>
      </c>
      <c r="J44" s="99"/>
    </row>
    <row r="45" spans="3:10" x14ac:dyDescent="0.25">
      <c r="C45" s="146" t="s">
        <v>10</v>
      </c>
      <c r="D45" s="63">
        <f>-D42*0.6</f>
        <v>60000</v>
      </c>
      <c r="E45" s="63"/>
      <c r="F45" s="63"/>
      <c r="G45" s="63"/>
      <c r="H45" s="63"/>
      <c r="I45" s="63"/>
      <c r="J45" s="99"/>
    </row>
    <row r="46" spans="3:10" x14ac:dyDescent="0.25">
      <c r="C46" s="162" t="s">
        <v>191</v>
      </c>
      <c r="D46" s="93">
        <f>SUM(D43:D45)</f>
        <v>60000</v>
      </c>
      <c r="E46" s="93">
        <f t="shared" ref="E46:I46" si="13">SUM(E43:E45)</f>
        <v>-4200</v>
      </c>
      <c r="F46" s="93">
        <f t="shared" si="13"/>
        <v>-17128.24822236587</v>
      </c>
      <c r="G46" s="93">
        <f t="shared" si="13"/>
        <v>-17516.095669036848</v>
      </c>
      <c r="H46" s="93">
        <f t="shared" si="13"/>
        <v>-17942.727860374918</v>
      </c>
      <c r="I46" s="93">
        <f t="shared" si="13"/>
        <v>-18412.023270846799</v>
      </c>
      <c r="J46" s="111"/>
    </row>
    <row r="47" spans="3:10" x14ac:dyDescent="0.25">
      <c r="C47" s="163" t="s">
        <v>12</v>
      </c>
      <c r="D47" s="159">
        <f>+D42+D46</f>
        <v>-40000</v>
      </c>
      <c r="E47" s="159">
        <f>SUM(E42:E45)</f>
        <v>93640</v>
      </c>
      <c r="F47" s="159">
        <f t="shared" ref="F47:J47" si="14">SUM(F42:F45)</f>
        <v>91610.751777634126</v>
      </c>
      <c r="G47" s="159">
        <f t="shared" si="14"/>
        <v>103211.80433096315</v>
      </c>
      <c r="H47" s="159">
        <f t="shared" si="14"/>
        <v>102785.17213962507</v>
      </c>
      <c r="I47" s="159">
        <f t="shared" si="14"/>
        <v>102315.87672915318</v>
      </c>
      <c r="J47" s="164">
        <f t="shared" si="14"/>
        <v>59150</v>
      </c>
    </row>
    <row r="48" spans="3:10" x14ac:dyDescent="0.25">
      <c r="C48" s="66"/>
      <c r="D48" s="66"/>
      <c r="E48" s="66"/>
      <c r="F48" s="66"/>
      <c r="G48" s="66"/>
      <c r="H48" s="66"/>
      <c r="I48" s="66"/>
      <c r="J48" s="66"/>
    </row>
    <row r="49" spans="2:10" x14ac:dyDescent="0.25">
      <c r="C49" s="66"/>
      <c r="D49" s="66"/>
      <c r="E49" s="66"/>
      <c r="F49" s="66"/>
      <c r="G49" s="66"/>
      <c r="H49" s="66"/>
      <c r="I49" s="66"/>
      <c r="J49" s="66"/>
    </row>
    <row r="50" spans="2:10" x14ac:dyDescent="0.25">
      <c r="B50" s="302" t="s">
        <v>69</v>
      </c>
      <c r="C50" s="101" t="s">
        <v>25</v>
      </c>
      <c r="D50" s="97">
        <v>0.14000000000000001</v>
      </c>
      <c r="E50" s="66"/>
      <c r="F50" s="66"/>
      <c r="G50" s="66"/>
      <c r="H50" s="66"/>
      <c r="I50" s="66"/>
      <c r="J50" s="66"/>
    </row>
    <row r="51" spans="2:10" x14ac:dyDescent="0.25">
      <c r="C51" s="102" t="s">
        <v>136</v>
      </c>
      <c r="D51" s="98">
        <f>+D9</f>
        <v>0.1</v>
      </c>
      <c r="E51" s="66"/>
      <c r="F51" s="66"/>
      <c r="G51" s="66"/>
      <c r="H51" s="66"/>
      <c r="I51" s="66"/>
      <c r="J51" s="66"/>
    </row>
    <row r="52" spans="2:10" x14ac:dyDescent="0.25">
      <c r="C52" s="102" t="s">
        <v>192</v>
      </c>
      <c r="D52" s="98">
        <f>+(1-D53)</f>
        <v>0.4</v>
      </c>
      <c r="E52" s="66"/>
      <c r="F52" s="66"/>
      <c r="G52" s="66"/>
      <c r="H52" s="66"/>
      <c r="I52" s="66"/>
      <c r="J52" s="66"/>
    </row>
    <row r="53" spans="2:10" x14ac:dyDescent="0.25">
      <c r="C53" s="102" t="s">
        <v>193</v>
      </c>
      <c r="D53" s="99">
        <v>0.6</v>
      </c>
      <c r="E53" s="66"/>
      <c r="F53" s="66"/>
      <c r="G53" s="66"/>
      <c r="H53" s="66"/>
      <c r="I53" s="66"/>
      <c r="J53" s="66"/>
    </row>
    <row r="54" spans="2:10" x14ac:dyDescent="0.25">
      <c r="C54" s="103" t="s">
        <v>194</v>
      </c>
      <c r="D54" s="100">
        <f>+D8</f>
        <v>0.3</v>
      </c>
      <c r="E54" s="66"/>
      <c r="F54" s="66"/>
      <c r="G54" s="66"/>
      <c r="H54" s="66"/>
      <c r="I54" s="66"/>
      <c r="J54" s="66"/>
    </row>
    <row r="55" spans="2:10" x14ac:dyDescent="0.25">
      <c r="C55" s="138" t="s">
        <v>72</v>
      </c>
      <c r="D55" s="139">
        <f>+D50*D52+D53*D51*(1-D54)</f>
        <v>9.8000000000000004E-2</v>
      </c>
      <c r="E55" s="66"/>
      <c r="F55" s="66"/>
      <c r="G55" s="66"/>
      <c r="H55" s="66"/>
      <c r="I55" s="66"/>
      <c r="J55" s="66"/>
    </row>
    <row r="56" spans="2:10" x14ac:dyDescent="0.25">
      <c r="C56" s="66"/>
      <c r="D56" s="66"/>
      <c r="E56" s="66"/>
      <c r="F56" s="66"/>
      <c r="G56" s="66"/>
      <c r="H56" s="66"/>
      <c r="I56" s="66"/>
      <c r="J56" s="66"/>
    </row>
    <row r="57" spans="2:10" x14ac:dyDescent="0.25">
      <c r="B57" s="141"/>
      <c r="C57" s="88" t="s">
        <v>195</v>
      </c>
      <c r="D57" s="160">
        <f>+D42+NPV(D55,E42:J42)</f>
        <v>362967.46383761812</v>
      </c>
      <c r="E57" s="66"/>
      <c r="F57" s="66"/>
      <c r="G57" s="66"/>
      <c r="H57" s="66"/>
      <c r="I57" s="66"/>
      <c r="J57" s="66"/>
    </row>
    <row r="58" spans="2:10" ht="9" customHeight="1" x14ac:dyDescent="0.25">
      <c r="B58" s="141"/>
      <c r="C58" s="135"/>
      <c r="D58" s="128"/>
      <c r="E58" s="66"/>
      <c r="F58" s="66"/>
      <c r="G58" s="66"/>
      <c r="H58" s="66"/>
      <c r="I58" s="66"/>
      <c r="J58" s="66"/>
    </row>
    <row r="59" spans="2:10" x14ac:dyDescent="0.25">
      <c r="C59" s="88" t="s">
        <v>268</v>
      </c>
      <c r="D59" s="160">
        <f>+D47+NPV(D50,E47:J47)</f>
        <v>323241.55545315827</v>
      </c>
      <c r="E59" s="66"/>
      <c r="F59" s="66"/>
      <c r="G59" s="66"/>
      <c r="H59" s="66"/>
      <c r="I59" s="66"/>
      <c r="J59" s="66"/>
    </row>
  </sheetData>
  <sheetProtection algorithmName="SHA-512" hashValue="UgfLjHu2Ix9e1LsqGN+UZWDsGN/En0dUDayhQN92+jFu6Kvh6TXxKeOpOi3wtytjiqZ31rDdat26eifB37Sbug==" saltValue="8lhrJPL5yEb5yEQni0YI5w==" spinCount="100000" sheet="1" objects="1" scenarios="1"/>
  <mergeCells count="1">
    <mergeCell ref="C1:J1"/>
  </mergeCells>
  <pageMargins left="0.7" right="0.7" top="0.75" bottom="0.75" header="0.3" footer="0.3"/>
  <pageSetup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C1:O36"/>
  <sheetViews>
    <sheetView zoomScaleNormal="100" workbookViewId="0"/>
  </sheetViews>
  <sheetFormatPr baseColWidth="10" defaultRowHeight="13.2" x14ac:dyDescent="0.25"/>
  <cols>
    <col min="1" max="1" width="11.5546875" style="2"/>
    <col min="2" max="2" width="10.33203125" style="2" customWidth="1"/>
    <col min="3" max="3" width="28.6640625" style="10" customWidth="1"/>
    <col min="4" max="4" width="13" style="2" customWidth="1"/>
    <col min="5" max="5" width="13.44140625" style="2" bestFit="1" customWidth="1"/>
    <col min="6" max="9" width="12.109375" style="2" bestFit="1" customWidth="1"/>
    <col min="10" max="10" width="11.44140625" style="2"/>
    <col min="11" max="11" width="16.44140625" style="2" bestFit="1" customWidth="1"/>
    <col min="12" max="12" width="11.5546875" style="2" customWidth="1"/>
    <col min="13" max="15" width="11.6640625" style="2" customWidth="1"/>
    <col min="16" max="257" width="11.44140625" style="2"/>
    <col min="258" max="258" width="22.88671875" style="2" customWidth="1"/>
    <col min="259" max="266" width="11.44140625" style="2"/>
    <col min="267" max="267" width="13.44140625" style="2" customWidth="1"/>
    <col min="268" max="513" width="11.44140625" style="2"/>
    <col min="514" max="514" width="22.88671875" style="2" customWidth="1"/>
    <col min="515" max="522" width="11.44140625" style="2"/>
    <col min="523" max="523" width="13.44140625" style="2" customWidth="1"/>
    <col min="524" max="769" width="11.44140625" style="2"/>
    <col min="770" max="770" width="22.88671875" style="2" customWidth="1"/>
    <col min="771" max="778" width="11.44140625" style="2"/>
    <col min="779" max="779" width="13.44140625" style="2" customWidth="1"/>
    <col min="780" max="1025" width="11.44140625" style="2"/>
    <col min="1026" max="1026" width="22.88671875" style="2" customWidth="1"/>
    <col min="1027" max="1034" width="11.44140625" style="2"/>
    <col min="1035" max="1035" width="13.44140625" style="2" customWidth="1"/>
    <col min="1036" max="1281" width="11.44140625" style="2"/>
    <col min="1282" max="1282" width="22.88671875" style="2" customWidth="1"/>
    <col min="1283" max="1290" width="11.44140625" style="2"/>
    <col min="1291" max="1291" width="13.44140625" style="2" customWidth="1"/>
    <col min="1292" max="1537" width="11.44140625" style="2"/>
    <col min="1538" max="1538" width="22.88671875" style="2" customWidth="1"/>
    <col min="1539" max="1546" width="11.44140625" style="2"/>
    <col min="1547" max="1547" width="13.44140625" style="2" customWidth="1"/>
    <col min="1548" max="1793" width="11.44140625" style="2"/>
    <col min="1794" max="1794" width="22.88671875" style="2" customWidth="1"/>
    <col min="1795" max="1802" width="11.44140625" style="2"/>
    <col min="1803" max="1803" width="13.44140625" style="2" customWidth="1"/>
    <col min="1804" max="2049" width="11.44140625" style="2"/>
    <col min="2050" max="2050" width="22.88671875" style="2" customWidth="1"/>
    <col min="2051" max="2058" width="11.44140625" style="2"/>
    <col min="2059" max="2059" width="13.44140625" style="2" customWidth="1"/>
    <col min="2060" max="2305" width="11.44140625" style="2"/>
    <col min="2306" max="2306" width="22.88671875" style="2" customWidth="1"/>
    <col min="2307" max="2314" width="11.44140625" style="2"/>
    <col min="2315" max="2315" width="13.44140625" style="2" customWidth="1"/>
    <col min="2316" max="2561" width="11.44140625" style="2"/>
    <col min="2562" max="2562" width="22.88671875" style="2" customWidth="1"/>
    <col min="2563" max="2570" width="11.44140625" style="2"/>
    <col min="2571" max="2571" width="13.44140625" style="2" customWidth="1"/>
    <col min="2572" max="2817" width="11.44140625" style="2"/>
    <col min="2818" max="2818" width="22.88671875" style="2" customWidth="1"/>
    <col min="2819" max="2826" width="11.44140625" style="2"/>
    <col min="2827" max="2827" width="13.44140625" style="2" customWidth="1"/>
    <col min="2828" max="3073" width="11.44140625" style="2"/>
    <col min="3074" max="3074" width="22.88671875" style="2" customWidth="1"/>
    <col min="3075" max="3082" width="11.44140625" style="2"/>
    <col min="3083" max="3083" width="13.44140625" style="2" customWidth="1"/>
    <col min="3084" max="3329" width="11.44140625" style="2"/>
    <col min="3330" max="3330" width="22.88671875" style="2" customWidth="1"/>
    <col min="3331" max="3338" width="11.44140625" style="2"/>
    <col min="3339" max="3339" width="13.44140625" style="2" customWidth="1"/>
    <col min="3340" max="3585" width="11.44140625" style="2"/>
    <col min="3586" max="3586" width="22.88671875" style="2" customWidth="1"/>
    <col min="3587" max="3594" width="11.44140625" style="2"/>
    <col min="3595" max="3595" width="13.44140625" style="2" customWidth="1"/>
    <col min="3596" max="3841" width="11.44140625" style="2"/>
    <col min="3842" max="3842" width="22.88671875" style="2" customWidth="1"/>
    <col min="3843" max="3850" width="11.44140625" style="2"/>
    <col min="3851" max="3851" width="13.44140625" style="2" customWidth="1"/>
    <col min="3852" max="4097" width="11.44140625" style="2"/>
    <col min="4098" max="4098" width="22.88671875" style="2" customWidth="1"/>
    <col min="4099" max="4106" width="11.44140625" style="2"/>
    <col min="4107" max="4107" width="13.44140625" style="2" customWidth="1"/>
    <col min="4108" max="4353" width="11.44140625" style="2"/>
    <col min="4354" max="4354" width="22.88671875" style="2" customWidth="1"/>
    <col min="4355" max="4362" width="11.44140625" style="2"/>
    <col min="4363" max="4363" width="13.44140625" style="2" customWidth="1"/>
    <col min="4364" max="4609" width="11.44140625" style="2"/>
    <col min="4610" max="4610" width="22.88671875" style="2" customWidth="1"/>
    <col min="4611" max="4618" width="11.44140625" style="2"/>
    <col min="4619" max="4619" width="13.44140625" style="2" customWidth="1"/>
    <col min="4620" max="4865" width="11.44140625" style="2"/>
    <col min="4866" max="4866" width="22.88671875" style="2" customWidth="1"/>
    <col min="4867" max="4874" width="11.44140625" style="2"/>
    <col min="4875" max="4875" width="13.44140625" style="2" customWidth="1"/>
    <col min="4876" max="5121" width="11.44140625" style="2"/>
    <col min="5122" max="5122" width="22.88671875" style="2" customWidth="1"/>
    <col min="5123" max="5130" width="11.44140625" style="2"/>
    <col min="5131" max="5131" width="13.44140625" style="2" customWidth="1"/>
    <col min="5132" max="5377" width="11.44140625" style="2"/>
    <col min="5378" max="5378" width="22.88671875" style="2" customWidth="1"/>
    <col min="5379" max="5386" width="11.44140625" style="2"/>
    <col min="5387" max="5387" width="13.44140625" style="2" customWidth="1"/>
    <col min="5388" max="5633" width="11.44140625" style="2"/>
    <col min="5634" max="5634" width="22.88671875" style="2" customWidth="1"/>
    <col min="5635" max="5642" width="11.44140625" style="2"/>
    <col min="5643" max="5643" width="13.44140625" style="2" customWidth="1"/>
    <col min="5644" max="5889" width="11.44140625" style="2"/>
    <col min="5890" max="5890" width="22.88671875" style="2" customWidth="1"/>
    <col min="5891" max="5898" width="11.44140625" style="2"/>
    <col min="5899" max="5899" width="13.44140625" style="2" customWidth="1"/>
    <col min="5900" max="6145" width="11.44140625" style="2"/>
    <col min="6146" max="6146" width="22.88671875" style="2" customWidth="1"/>
    <col min="6147" max="6154" width="11.44140625" style="2"/>
    <col min="6155" max="6155" width="13.44140625" style="2" customWidth="1"/>
    <col min="6156" max="6401" width="11.44140625" style="2"/>
    <col min="6402" max="6402" width="22.88671875" style="2" customWidth="1"/>
    <col min="6403" max="6410" width="11.44140625" style="2"/>
    <col min="6411" max="6411" width="13.44140625" style="2" customWidth="1"/>
    <col min="6412" max="6657" width="11.44140625" style="2"/>
    <col min="6658" max="6658" width="22.88671875" style="2" customWidth="1"/>
    <col min="6659" max="6666" width="11.44140625" style="2"/>
    <col min="6667" max="6667" width="13.44140625" style="2" customWidth="1"/>
    <col min="6668" max="6913" width="11.44140625" style="2"/>
    <col min="6914" max="6914" width="22.88671875" style="2" customWidth="1"/>
    <col min="6915" max="6922" width="11.44140625" style="2"/>
    <col min="6923" max="6923" width="13.44140625" style="2" customWidth="1"/>
    <col min="6924" max="7169" width="11.44140625" style="2"/>
    <col min="7170" max="7170" width="22.88671875" style="2" customWidth="1"/>
    <col min="7171" max="7178" width="11.44140625" style="2"/>
    <col min="7179" max="7179" width="13.44140625" style="2" customWidth="1"/>
    <col min="7180" max="7425" width="11.44140625" style="2"/>
    <col min="7426" max="7426" width="22.88671875" style="2" customWidth="1"/>
    <col min="7427" max="7434" width="11.44140625" style="2"/>
    <col min="7435" max="7435" width="13.44140625" style="2" customWidth="1"/>
    <col min="7436" max="7681" width="11.44140625" style="2"/>
    <col min="7682" max="7682" width="22.88671875" style="2" customWidth="1"/>
    <col min="7683" max="7690" width="11.44140625" style="2"/>
    <col min="7691" max="7691" width="13.44140625" style="2" customWidth="1"/>
    <col min="7692" max="7937" width="11.44140625" style="2"/>
    <col min="7938" max="7938" width="22.88671875" style="2" customWidth="1"/>
    <col min="7939" max="7946" width="11.44140625" style="2"/>
    <col min="7947" max="7947" width="13.44140625" style="2" customWidth="1"/>
    <col min="7948" max="8193" width="11.44140625" style="2"/>
    <col min="8194" max="8194" width="22.88671875" style="2" customWidth="1"/>
    <col min="8195" max="8202" width="11.44140625" style="2"/>
    <col min="8203" max="8203" width="13.44140625" style="2" customWidth="1"/>
    <col min="8204" max="8449" width="11.44140625" style="2"/>
    <col min="8450" max="8450" width="22.88671875" style="2" customWidth="1"/>
    <col min="8451" max="8458" width="11.44140625" style="2"/>
    <col min="8459" max="8459" width="13.44140625" style="2" customWidth="1"/>
    <col min="8460" max="8705" width="11.44140625" style="2"/>
    <col min="8706" max="8706" width="22.88671875" style="2" customWidth="1"/>
    <col min="8707" max="8714" width="11.44140625" style="2"/>
    <col min="8715" max="8715" width="13.44140625" style="2" customWidth="1"/>
    <col min="8716" max="8961" width="11.44140625" style="2"/>
    <col min="8962" max="8962" width="22.88671875" style="2" customWidth="1"/>
    <col min="8963" max="8970" width="11.44140625" style="2"/>
    <col min="8971" max="8971" width="13.44140625" style="2" customWidth="1"/>
    <col min="8972" max="9217" width="11.44140625" style="2"/>
    <col min="9218" max="9218" width="22.88671875" style="2" customWidth="1"/>
    <col min="9219" max="9226" width="11.44140625" style="2"/>
    <col min="9227" max="9227" width="13.44140625" style="2" customWidth="1"/>
    <col min="9228" max="9473" width="11.44140625" style="2"/>
    <col min="9474" max="9474" width="22.88671875" style="2" customWidth="1"/>
    <col min="9475" max="9482" width="11.44140625" style="2"/>
    <col min="9483" max="9483" width="13.44140625" style="2" customWidth="1"/>
    <col min="9484" max="9729" width="11.44140625" style="2"/>
    <col min="9730" max="9730" width="22.88671875" style="2" customWidth="1"/>
    <col min="9731" max="9738" width="11.44140625" style="2"/>
    <col min="9739" max="9739" width="13.44140625" style="2" customWidth="1"/>
    <col min="9740" max="9985" width="11.44140625" style="2"/>
    <col min="9986" max="9986" width="22.88671875" style="2" customWidth="1"/>
    <col min="9987" max="9994" width="11.44140625" style="2"/>
    <col min="9995" max="9995" width="13.44140625" style="2" customWidth="1"/>
    <col min="9996" max="10241" width="11.44140625" style="2"/>
    <col min="10242" max="10242" width="22.88671875" style="2" customWidth="1"/>
    <col min="10243" max="10250" width="11.44140625" style="2"/>
    <col min="10251" max="10251" width="13.44140625" style="2" customWidth="1"/>
    <col min="10252" max="10497" width="11.44140625" style="2"/>
    <col min="10498" max="10498" width="22.88671875" style="2" customWidth="1"/>
    <col min="10499" max="10506" width="11.44140625" style="2"/>
    <col min="10507" max="10507" width="13.44140625" style="2" customWidth="1"/>
    <col min="10508" max="10753" width="11.44140625" style="2"/>
    <col min="10754" max="10754" width="22.88671875" style="2" customWidth="1"/>
    <col min="10755" max="10762" width="11.44140625" style="2"/>
    <col min="10763" max="10763" width="13.44140625" style="2" customWidth="1"/>
    <col min="10764" max="11009" width="11.44140625" style="2"/>
    <col min="11010" max="11010" width="22.88671875" style="2" customWidth="1"/>
    <col min="11011" max="11018" width="11.44140625" style="2"/>
    <col min="11019" max="11019" width="13.44140625" style="2" customWidth="1"/>
    <col min="11020" max="11265" width="11.44140625" style="2"/>
    <col min="11266" max="11266" width="22.88671875" style="2" customWidth="1"/>
    <col min="11267" max="11274" width="11.44140625" style="2"/>
    <col min="11275" max="11275" width="13.44140625" style="2" customWidth="1"/>
    <col min="11276" max="11521" width="11.44140625" style="2"/>
    <col min="11522" max="11522" width="22.88671875" style="2" customWidth="1"/>
    <col min="11523" max="11530" width="11.44140625" style="2"/>
    <col min="11531" max="11531" width="13.44140625" style="2" customWidth="1"/>
    <col min="11532" max="11777" width="11.44140625" style="2"/>
    <col min="11778" max="11778" width="22.88671875" style="2" customWidth="1"/>
    <col min="11779" max="11786" width="11.44140625" style="2"/>
    <col min="11787" max="11787" width="13.44140625" style="2" customWidth="1"/>
    <col min="11788" max="12033" width="11.44140625" style="2"/>
    <col min="12034" max="12034" width="22.88671875" style="2" customWidth="1"/>
    <col min="12035" max="12042" width="11.44140625" style="2"/>
    <col min="12043" max="12043" width="13.44140625" style="2" customWidth="1"/>
    <col min="12044" max="12289" width="11.44140625" style="2"/>
    <col min="12290" max="12290" width="22.88671875" style="2" customWidth="1"/>
    <col min="12291" max="12298" width="11.44140625" style="2"/>
    <col min="12299" max="12299" width="13.44140625" style="2" customWidth="1"/>
    <col min="12300" max="12545" width="11.44140625" style="2"/>
    <col min="12546" max="12546" width="22.88671875" style="2" customWidth="1"/>
    <col min="12547" max="12554" width="11.44140625" style="2"/>
    <col min="12555" max="12555" width="13.44140625" style="2" customWidth="1"/>
    <col min="12556" max="12801" width="11.44140625" style="2"/>
    <col min="12802" max="12802" width="22.88671875" style="2" customWidth="1"/>
    <col min="12803" max="12810" width="11.44140625" style="2"/>
    <col min="12811" max="12811" width="13.44140625" style="2" customWidth="1"/>
    <col min="12812" max="13057" width="11.44140625" style="2"/>
    <col min="13058" max="13058" width="22.88671875" style="2" customWidth="1"/>
    <col min="13059" max="13066" width="11.44140625" style="2"/>
    <col min="13067" max="13067" width="13.44140625" style="2" customWidth="1"/>
    <col min="13068" max="13313" width="11.44140625" style="2"/>
    <col min="13314" max="13314" width="22.88671875" style="2" customWidth="1"/>
    <col min="13315" max="13322" width="11.44140625" style="2"/>
    <col min="13323" max="13323" width="13.44140625" style="2" customWidth="1"/>
    <col min="13324" max="13569" width="11.44140625" style="2"/>
    <col min="13570" max="13570" width="22.88671875" style="2" customWidth="1"/>
    <col min="13571" max="13578" width="11.44140625" style="2"/>
    <col min="13579" max="13579" width="13.44140625" style="2" customWidth="1"/>
    <col min="13580" max="13825" width="11.44140625" style="2"/>
    <col min="13826" max="13826" width="22.88671875" style="2" customWidth="1"/>
    <col min="13827" max="13834" width="11.44140625" style="2"/>
    <col min="13835" max="13835" width="13.44140625" style="2" customWidth="1"/>
    <col min="13836" max="14081" width="11.44140625" style="2"/>
    <col min="14082" max="14082" width="22.88671875" style="2" customWidth="1"/>
    <col min="14083" max="14090" width="11.44140625" style="2"/>
    <col min="14091" max="14091" width="13.44140625" style="2" customWidth="1"/>
    <col min="14092" max="14337" width="11.44140625" style="2"/>
    <col min="14338" max="14338" width="22.88671875" style="2" customWidth="1"/>
    <col min="14339" max="14346" width="11.44140625" style="2"/>
    <col min="14347" max="14347" width="13.44140625" style="2" customWidth="1"/>
    <col min="14348" max="14593" width="11.44140625" style="2"/>
    <col min="14594" max="14594" width="22.88671875" style="2" customWidth="1"/>
    <col min="14595" max="14602" width="11.44140625" style="2"/>
    <col min="14603" max="14603" width="13.44140625" style="2" customWidth="1"/>
    <col min="14604" max="14849" width="11.44140625" style="2"/>
    <col min="14850" max="14850" width="22.88671875" style="2" customWidth="1"/>
    <col min="14851" max="14858" width="11.44140625" style="2"/>
    <col min="14859" max="14859" width="13.44140625" style="2" customWidth="1"/>
    <col min="14860" max="15105" width="11.44140625" style="2"/>
    <col min="15106" max="15106" width="22.88671875" style="2" customWidth="1"/>
    <col min="15107" max="15114" width="11.44140625" style="2"/>
    <col min="15115" max="15115" width="13.44140625" style="2" customWidth="1"/>
    <col min="15116" max="15361" width="11.44140625" style="2"/>
    <col min="15362" max="15362" width="22.88671875" style="2" customWidth="1"/>
    <col min="15363" max="15370" width="11.44140625" style="2"/>
    <col min="15371" max="15371" width="13.44140625" style="2" customWidth="1"/>
    <col min="15372" max="15617" width="11.44140625" style="2"/>
    <col min="15618" max="15618" width="22.88671875" style="2" customWidth="1"/>
    <col min="15619" max="15626" width="11.44140625" style="2"/>
    <col min="15627" max="15627" width="13.44140625" style="2" customWidth="1"/>
    <col min="15628" max="15873" width="11.44140625" style="2"/>
    <col min="15874" max="15874" width="22.88671875" style="2" customWidth="1"/>
    <col min="15875" max="15882" width="11.44140625" style="2"/>
    <col min="15883" max="15883" width="13.44140625" style="2" customWidth="1"/>
    <col min="15884" max="16129" width="11.44140625" style="2"/>
    <col min="16130" max="16130" width="22.88671875" style="2" customWidth="1"/>
    <col min="16131" max="16138" width="11.44140625" style="2"/>
    <col min="16139" max="16139" width="13.44140625" style="2" customWidth="1"/>
    <col min="16140" max="16384" width="11.44140625" style="2"/>
  </cols>
  <sheetData>
    <row r="1" spans="3:15" s="66" customFormat="1" ht="19.95" customHeight="1" x14ac:dyDescent="0.25">
      <c r="C1" s="353" t="s">
        <v>311</v>
      </c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3" spans="3:15" ht="13.8" x14ac:dyDescent="0.25">
      <c r="C3" s="107" t="s">
        <v>37</v>
      </c>
      <c r="D3" s="108" t="s">
        <v>1</v>
      </c>
      <c r="E3" s="108" t="s">
        <v>2</v>
      </c>
      <c r="F3" s="108" t="s">
        <v>13</v>
      </c>
      <c r="G3" s="108" t="s">
        <v>14</v>
      </c>
      <c r="H3" s="108" t="s">
        <v>15</v>
      </c>
      <c r="I3" s="109" t="s">
        <v>16</v>
      </c>
    </row>
    <row r="4" spans="3:15" ht="13.8" x14ac:dyDescent="0.25">
      <c r="C4" s="172" t="s">
        <v>40</v>
      </c>
      <c r="D4" s="63"/>
      <c r="E4" s="63">
        <f>418000+92000</f>
        <v>510000</v>
      </c>
      <c r="F4" s="63">
        <f t="shared" ref="F4:I4" si="0">418000+92000</f>
        <v>510000</v>
      </c>
      <c r="G4" s="63">
        <f t="shared" si="0"/>
        <v>510000</v>
      </c>
      <c r="H4" s="63">
        <f t="shared" si="0"/>
        <v>510000</v>
      </c>
      <c r="I4" s="99">
        <f t="shared" si="0"/>
        <v>510000</v>
      </c>
      <c r="K4" s="188" t="s">
        <v>113</v>
      </c>
      <c r="L4" s="188" t="s">
        <v>114</v>
      </c>
      <c r="M4" s="188" t="s">
        <v>242</v>
      </c>
      <c r="N4" s="188" t="s">
        <v>240</v>
      </c>
      <c r="O4" s="188" t="s">
        <v>241</v>
      </c>
    </row>
    <row r="5" spans="3:15" ht="27.6" x14ac:dyDescent="0.25">
      <c r="C5" s="173" t="s">
        <v>115</v>
      </c>
      <c r="D5" s="63"/>
      <c r="E5" s="63">
        <f>+$O$5*$K$5</f>
        <v>10920.000000000002</v>
      </c>
      <c r="F5" s="63">
        <f t="shared" ref="F5:I5" si="1">+$O$5*$K$5</f>
        <v>10920.000000000002</v>
      </c>
      <c r="G5" s="63">
        <f t="shared" si="1"/>
        <v>10920.000000000002</v>
      </c>
      <c r="H5" s="63">
        <f t="shared" si="1"/>
        <v>10920.000000000002</v>
      </c>
      <c r="I5" s="99">
        <f t="shared" si="1"/>
        <v>10920.000000000002</v>
      </c>
      <c r="K5" s="189">
        <f>200*7*52</f>
        <v>72800</v>
      </c>
      <c r="L5" s="189">
        <v>54600</v>
      </c>
      <c r="M5" s="189">
        <f>+L5/K5</f>
        <v>0.75</v>
      </c>
      <c r="N5" s="189">
        <f>+M5-0.15</f>
        <v>0.6</v>
      </c>
      <c r="O5" s="189">
        <f>+M5-N5</f>
        <v>0.15000000000000002</v>
      </c>
    </row>
    <row r="6" spans="3:15" ht="13.8" x14ac:dyDescent="0.25">
      <c r="C6" s="174" t="s">
        <v>116</v>
      </c>
      <c r="D6" s="63"/>
      <c r="E6" s="63">
        <f>-96000-18400-72800-22200</f>
        <v>-209400</v>
      </c>
      <c r="F6" s="63">
        <f t="shared" ref="F6:I6" si="2">-96000-18400-72800-22200</f>
        <v>-209400</v>
      </c>
      <c r="G6" s="63">
        <f t="shared" si="2"/>
        <v>-209400</v>
      </c>
      <c r="H6" s="63">
        <f t="shared" si="2"/>
        <v>-209400</v>
      </c>
      <c r="I6" s="99">
        <f t="shared" si="2"/>
        <v>-209400</v>
      </c>
      <c r="K6" s="63"/>
      <c r="L6" s="63"/>
      <c r="M6" s="63"/>
      <c r="N6" s="63"/>
      <c r="O6" s="63"/>
    </row>
    <row r="7" spans="3:15" ht="13.8" x14ac:dyDescent="0.25">
      <c r="C7" s="172" t="s">
        <v>117</v>
      </c>
      <c r="D7" s="63"/>
      <c r="E7" s="63">
        <f>-$K$5*$N$5</f>
        <v>-43680</v>
      </c>
      <c r="F7" s="63">
        <f t="shared" ref="F7:I7" si="3">-$K$5*$N$5</f>
        <v>-43680</v>
      </c>
      <c r="G7" s="63">
        <f t="shared" si="3"/>
        <v>-43680</v>
      </c>
      <c r="H7" s="63">
        <f t="shared" si="3"/>
        <v>-43680</v>
      </c>
      <c r="I7" s="99">
        <f t="shared" si="3"/>
        <v>-43680</v>
      </c>
      <c r="K7" s="199" t="s">
        <v>118</v>
      </c>
      <c r="L7" s="190">
        <v>0.08</v>
      </c>
      <c r="M7" s="63"/>
      <c r="N7" s="63"/>
      <c r="O7" s="63"/>
    </row>
    <row r="8" spans="3:15" ht="13.8" x14ac:dyDescent="0.25">
      <c r="C8" s="172" t="s">
        <v>30</v>
      </c>
      <c r="D8" s="63"/>
      <c r="E8" s="63">
        <f>+$D$18*20%</f>
        <v>-93000</v>
      </c>
      <c r="F8" s="63">
        <f t="shared" ref="F8:I8" si="4">+$D$18*20%</f>
        <v>-93000</v>
      </c>
      <c r="G8" s="63">
        <f t="shared" si="4"/>
        <v>-93000</v>
      </c>
      <c r="H8" s="63">
        <f t="shared" si="4"/>
        <v>-93000</v>
      </c>
      <c r="I8" s="99">
        <f t="shared" si="4"/>
        <v>-93000</v>
      </c>
      <c r="K8" s="183"/>
      <c r="L8" s="184" t="s">
        <v>1</v>
      </c>
      <c r="M8" s="184" t="s">
        <v>2</v>
      </c>
      <c r="N8" s="184" t="s">
        <v>13</v>
      </c>
      <c r="O8" s="185" t="s">
        <v>14</v>
      </c>
    </row>
    <row r="9" spans="3:15" ht="13.8" x14ac:dyDescent="0.25">
      <c r="C9" s="172" t="s">
        <v>84</v>
      </c>
      <c r="D9" s="63"/>
      <c r="E9" s="63">
        <f>-SUM(E4:E8)*0.34</f>
        <v>-59445.600000000006</v>
      </c>
      <c r="F9" s="63">
        <f>-SUM(F4:F8)*0.34</f>
        <v>-59445.600000000006</v>
      </c>
      <c r="G9" s="63">
        <f>-SUM(G4:G8)*0.34</f>
        <v>-59445.600000000006</v>
      </c>
      <c r="H9" s="63">
        <f>-SUM(H4:H8)*0.34</f>
        <v>-59445.600000000006</v>
      </c>
      <c r="I9" s="99">
        <f>-SUM(I4:I8)*0.34</f>
        <v>-59445.600000000006</v>
      </c>
      <c r="K9" s="95" t="s">
        <v>101</v>
      </c>
      <c r="L9" s="63">
        <f>-D20*0.5</f>
        <v>242500</v>
      </c>
      <c r="M9" s="63">
        <f>+L9-M10</f>
        <v>167801.87284376539</v>
      </c>
      <c r="N9" s="63">
        <f>+M9-N10</f>
        <v>87127.895515032011</v>
      </c>
      <c r="O9" s="99">
        <f>+N9-O10</f>
        <v>0</v>
      </c>
    </row>
    <row r="10" spans="3:15" ht="13.8" x14ac:dyDescent="0.25">
      <c r="C10" s="248" t="s">
        <v>41</v>
      </c>
      <c r="D10" s="93"/>
      <c r="E10" s="93">
        <f>SUM(E4:E9)</f>
        <v>115394.4</v>
      </c>
      <c r="F10" s="93">
        <f>SUM(F4:F9)</f>
        <v>115394.4</v>
      </c>
      <c r="G10" s="93">
        <f>SUM(G4:G9)</f>
        <v>115394.4</v>
      </c>
      <c r="H10" s="93">
        <f>SUM(H4:H9)</f>
        <v>115394.4</v>
      </c>
      <c r="I10" s="111">
        <f>SUM(I4:I9)</f>
        <v>115394.4</v>
      </c>
      <c r="K10" s="95" t="s">
        <v>102</v>
      </c>
      <c r="L10" s="63"/>
      <c r="M10" s="63">
        <f>+M12-M11</f>
        <v>74698.127156234608</v>
      </c>
      <c r="N10" s="63">
        <f>+N12-N11</f>
        <v>80673.977328733381</v>
      </c>
      <c r="O10" s="99">
        <f>+O12-O11</f>
        <v>87127.895515032054</v>
      </c>
    </row>
    <row r="11" spans="3:15" ht="13.8" x14ac:dyDescent="0.25">
      <c r="K11" s="95" t="s">
        <v>103</v>
      </c>
      <c r="L11" s="63"/>
      <c r="M11" s="63">
        <f>+L9*$L$7</f>
        <v>19400</v>
      </c>
      <c r="N11" s="63">
        <f t="shared" ref="N11:O11" si="5">+M9*$L$7</f>
        <v>13424.149827501231</v>
      </c>
      <c r="O11" s="99">
        <f t="shared" si="5"/>
        <v>6970.2316412025611</v>
      </c>
    </row>
    <row r="12" spans="3:15" ht="13.8" x14ac:dyDescent="0.25">
      <c r="K12" s="110" t="s">
        <v>104</v>
      </c>
      <c r="L12" s="93"/>
      <c r="M12" s="93">
        <f>PMT($L$7,3,-$L$9)</f>
        <v>94098.127156234608</v>
      </c>
      <c r="N12" s="93">
        <f>PMT($L$7,3,-$L$9)</f>
        <v>94098.127156234608</v>
      </c>
      <c r="O12" s="111">
        <f>PMT($L$7,3,-$L$9)</f>
        <v>94098.127156234608</v>
      </c>
    </row>
    <row r="13" spans="3:15" ht="13.8" x14ac:dyDescent="0.25">
      <c r="C13" s="330" t="s">
        <v>239</v>
      </c>
      <c r="D13" s="287" t="s">
        <v>1</v>
      </c>
      <c r="E13" s="287" t="s">
        <v>2</v>
      </c>
      <c r="F13" s="287" t="s">
        <v>13</v>
      </c>
      <c r="G13" s="287" t="s">
        <v>14</v>
      </c>
      <c r="H13" s="287" t="s">
        <v>15</v>
      </c>
      <c r="I13" s="288" t="s">
        <v>16</v>
      </c>
    </row>
    <row r="14" spans="3:15" ht="13.8" x14ac:dyDescent="0.25">
      <c r="C14" s="172" t="s">
        <v>64</v>
      </c>
      <c r="D14" s="63"/>
      <c r="E14" s="63">
        <f>+E10</f>
        <v>115394.4</v>
      </c>
      <c r="F14" s="63">
        <f>+F10</f>
        <v>115394.4</v>
      </c>
      <c r="G14" s="63">
        <f>+G10</f>
        <v>115394.4</v>
      </c>
      <c r="H14" s="63">
        <f>+H10</f>
        <v>115394.4</v>
      </c>
      <c r="I14" s="99">
        <f>+I10</f>
        <v>115394.4</v>
      </c>
    </row>
    <row r="15" spans="3:15" ht="13.8" x14ac:dyDescent="0.25">
      <c r="C15" s="172" t="s">
        <v>42</v>
      </c>
      <c r="D15" s="63"/>
      <c r="E15" s="63">
        <f>-E8</f>
        <v>93000</v>
      </c>
      <c r="F15" s="63">
        <f>-F8</f>
        <v>93000</v>
      </c>
      <c r="G15" s="63">
        <f>-G8</f>
        <v>93000</v>
      </c>
      <c r="H15" s="63">
        <f>-H8</f>
        <v>93000</v>
      </c>
      <c r="I15" s="99">
        <f>-I8</f>
        <v>93000</v>
      </c>
    </row>
    <row r="16" spans="3:15" ht="13.8" x14ac:dyDescent="0.25">
      <c r="C16" s="172" t="s">
        <v>119</v>
      </c>
      <c r="D16" s="63"/>
      <c r="E16" s="63"/>
      <c r="F16" s="63"/>
      <c r="G16" s="63"/>
      <c r="H16" s="63"/>
      <c r="I16" s="99">
        <f>-D19</f>
        <v>20000</v>
      </c>
    </row>
    <row r="17" spans="3:9" ht="13.8" x14ac:dyDescent="0.25">
      <c r="C17" s="172" t="s">
        <v>5</v>
      </c>
      <c r="D17" s="63">
        <f>SUM(D18:D19)</f>
        <v>-485000</v>
      </c>
      <c r="E17" s="63">
        <f t="shared" ref="E17:H17" si="6">SUM(E18:E19)</f>
        <v>0</v>
      </c>
      <c r="F17" s="63">
        <f t="shared" si="6"/>
        <v>0</v>
      </c>
      <c r="G17" s="63">
        <f t="shared" si="6"/>
        <v>0</v>
      </c>
      <c r="H17" s="63">
        <f t="shared" si="6"/>
        <v>0</v>
      </c>
      <c r="I17" s="99"/>
    </row>
    <row r="18" spans="3:9" ht="13.8" x14ac:dyDescent="0.25">
      <c r="C18" s="172" t="s">
        <v>144</v>
      </c>
      <c r="D18" s="63">
        <f>-400000-40000-25000</f>
        <v>-465000</v>
      </c>
      <c r="E18" s="63"/>
      <c r="F18" s="63"/>
      <c r="G18" s="63"/>
      <c r="H18" s="63"/>
      <c r="I18" s="99"/>
    </row>
    <row r="19" spans="3:9" ht="13.8" x14ac:dyDescent="0.25">
      <c r="C19" s="95" t="s">
        <v>6</v>
      </c>
      <c r="D19" s="63">
        <v>-20000</v>
      </c>
      <c r="E19" s="63"/>
      <c r="F19" s="63"/>
      <c r="G19" s="63"/>
      <c r="H19" s="63"/>
      <c r="I19" s="99"/>
    </row>
    <row r="20" spans="3:9" ht="13.8" x14ac:dyDescent="0.25">
      <c r="C20" s="175" t="s">
        <v>7</v>
      </c>
      <c r="D20" s="176">
        <f>SUM(D14:D17)</f>
        <v>-485000</v>
      </c>
      <c r="E20" s="176">
        <f t="shared" ref="E20:I20" si="7">SUM(E14:E17)</f>
        <v>208394.4</v>
      </c>
      <c r="F20" s="176">
        <f t="shared" si="7"/>
        <v>208394.4</v>
      </c>
      <c r="G20" s="176">
        <f t="shared" si="7"/>
        <v>208394.4</v>
      </c>
      <c r="H20" s="176">
        <f t="shared" si="7"/>
        <v>208394.4</v>
      </c>
      <c r="I20" s="177">
        <f t="shared" si="7"/>
        <v>228394.4</v>
      </c>
    </row>
    <row r="21" spans="3:9" ht="13.8" x14ac:dyDescent="0.25">
      <c r="C21" s="172" t="s">
        <v>120</v>
      </c>
      <c r="D21" s="63"/>
      <c r="E21" s="63">
        <f>-M12</f>
        <v>-94098.127156234608</v>
      </c>
      <c r="F21" s="63">
        <f>-N12</f>
        <v>-94098.127156234608</v>
      </c>
      <c r="G21" s="63">
        <f>-O12</f>
        <v>-94098.127156234608</v>
      </c>
      <c r="H21" s="63"/>
      <c r="I21" s="99"/>
    </row>
    <row r="22" spans="3:9" ht="13.8" x14ac:dyDescent="0.25">
      <c r="C22" s="172" t="s">
        <v>9</v>
      </c>
      <c r="D22" s="63"/>
      <c r="E22" s="63">
        <f>+M11*0.34</f>
        <v>6596.0000000000009</v>
      </c>
      <c r="F22" s="63">
        <f>+N11*0.34</f>
        <v>4564.2109413504186</v>
      </c>
      <c r="G22" s="63">
        <f>+O11*0.34</f>
        <v>2369.878758008871</v>
      </c>
      <c r="H22" s="63"/>
      <c r="I22" s="99"/>
    </row>
    <row r="23" spans="3:9" ht="13.8" x14ac:dyDescent="0.25">
      <c r="C23" s="172" t="s">
        <v>121</v>
      </c>
      <c r="D23" s="63">
        <f>L9</f>
        <v>242500</v>
      </c>
      <c r="E23" s="63"/>
      <c r="F23" s="63"/>
      <c r="G23" s="63"/>
      <c r="H23" s="63"/>
      <c r="I23" s="99"/>
    </row>
    <row r="24" spans="3:9" ht="13.8" x14ac:dyDescent="0.25">
      <c r="C24" s="110" t="s">
        <v>11</v>
      </c>
      <c r="D24" s="93">
        <f>SUM(D21:D23)</f>
        <v>242500</v>
      </c>
      <c r="E24" s="93">
        <f t="shared" ref="E24:G24" si="8">SUM(E21:E23)</f>
        <v>-87502.127156234608</v>
      </c>
      <c r="F24" s="93">
        <f t="shared" si="8"/>
        <v>-89533.916214884186</v>
      </c>
      <c r="G24" s="93">
        <f t="shared" si="8"/>
        <v>-91728.24839822574</v>
      </c>
      <c r="H24" s="93"/>
      <c r="I24" s="111"/>
    </row>
    <row r="25" spans="3:9" ht="13.8" x14ac:dyDescent="0.25">
      <c r="C25" s="178" t="s">
        <v>12</v>
      </c>
      <c r="D25" s="179">
        <f>+D20+D24</f>
        <v>-242500</v>
      </c>
      <c r="E25" s="179">
        <f t="shared" ref="E25:I25" si="9">+E20+E24</f>
        <v>120892.27284376539</v>
      </c>
      <c r="F25" s="179">
        <f t="shared" si="9"/>
        <v>118860.48378511581</v>
      </c>
      <c r="G25" s="179">
        <f t="shared" si="9"/>
        <v>116666.15160177425</v>
      </c>
      <c r="H25" s="179">
        <f t="shared" si="9"/>
        <v>208394.4</v>
      </c>
      <c r="I25" s="180">
        <f t="shared" si="9"/>
        <v>228394.4</v>
      </c>
    </row>
    <row r="26" spans="3:9" x14ac:dyDescent="0.25">
      <c r="C26" s="2"/>
    </row>
    <row r="27" spans="3:9" ht="13.8" x14ac:dyDescent="0.25">
      <c r="C27" s="192"/>
      <c r="D27" s="191" t="s">
        <v>196</v>
      </c>
      <c r="E27" s="108" t="s">
        <v>197</v>
      </c>
      <c r="F27" s="193"/>
      <c r="G27" s="56"/>
    </row>
    <row r="28" spans="3:9" ht="13.8" x14ac:dyDescent="0.25">
      <c r="C28" s="172" t="s">
        <v>25</v>
      </c>
      <c r="D28" s="194">
        <v>0.1</v>
      </c>
      <c r="E28" s="194">
        <v>0.5</v>
      </c>
      <c r="F28" s="195">
        <f>+D28*E28</f>
        <v>0.05</v>
      </c>
      <c r="G28" s="56"/>
    </row>
    <row r="29" spans="3:9" ht="13.8" x14ac:dyDescent="0.25">
      <c r="C29" s="172" t="s">
        <v>122</v>
      </c>
      <c r="D29" s="194">
        <v>0.08</v>
      </c>
      <c r="E29" s="194">
        <v>0.5</v>
      </c>
      <c r="F29" s="195">
        <f>+D29*E29*(1-0.34)</f>
        <v>2.6399999999999996E-2</v>
      </c>
      <c r="G29" s="56"/>
    </row>
    <row r="30" spans="3:9" ht="13.8" x14ac:dyDescent="0.25">
      <c r="C30" s="175" t="s">
        <v>72</v>
      </c>
      <c r="D30" s="249"/>
      <c r="E30" s="249"/>
      <c r="F30" s="250">
        <f>SUM(F28:F29)</f>
        <v>7.6399999999999996E-2</v>
      </c>
      <c r="G30" s="56"/>
    </row>
    <row r="31" spans="3:9" ht="13.8" x14ac:dyDescent="0.25">
      <c r="C31" s="196" t="s">
        <v>25</v>
      </c>
      <c r="D31" s="197"/>
      <c r="E31" s="197"/>
      <c r="F31" s="198">
        <v>0.1</v>
      </c>
      <c r="G31" s="56"/>
    </row>
    <row r="32" spans="3:9" ht="13.8" x14ac:dyDescent="0.25">
      <c r="C32" s="166"/>
      <c r="D32" s="56"/>
      <c r="E32" s="56"/>
      <c r="F32" s="56"/>
      <c r="G32" s="56"/>
    </row>
    <row r="33" spans="3:7" ht="13.8" x14ac:dyDescent="0.25">
      <c r="C33" s="129" t="s">
        <v>198</v>
      </c>
      <c r="D33" s="170">
        <f>+D20+NPV(F30,E20:I20)</f>
        <v>368854.17324576864</v>
      </c>
      <c r="E33" s="56"/>
      <c r="F33" s="129" t="s">
        <v>123</v>
      </c>
      <c r="G33" s="171">
        <f>IRR(D20:I20)</f>
        <v>0.32951138278841263</v>
      </c>
    </row>
    <row r="34" spans="3:7" ht="13.8" x14ac:dyDescent="0.25">
      <c r="C34" s="167"/>
      <c r="D34" s="169"/>
      <c r="E34" s="56"/>
      <c r="F34" s="169"/>
      <c r="G34" s="168"/>
    </row>
    <row r="35" spans="3:7" ht="13.8" x14ac:dyDescent="0.25">
      <c r="C35" s="129" t="s">
        <v>278</v>
      </c>
      <c r="D35" s="170">
        <f>+D25+NPV(D28,E25:I25)</f>
        <v>337438.00971536513</v>
      </c>
      <c r="E35" s="56"/>
      <c r="F35" s="129" t="s">
        <v>124</v>
      </c>
      <c r="G35" s="171">
        <f>IRR(D25:I25)</f>
        <v>0.49198712601656736</v>
      </c>
    </row>
    <row r="36" spans="3:7" ht="13.8" x14ac:dyDescent="0.25">
      <c r="C36" s="166"/>
      <c r="D36" s="56"/>
      <c r="E36" s="56"/>
      <c r="F36" s="56"/>
      <c r="G36" s="56"/>
    </row>
  </sheetData>
  <sheetProtection algorithmName="SHA-512" hashValue="8V8z0mgsFuvMFA1yYQbJ6eZtni0knoDV0XBk5vVbPkh+BSqKl83tZq3aTarKsdZHSesVziRsfiZnld1wlaJ+UQ==" saltValue="dJHJnHcB2CLU2nbXtyNpIg==" spinCount="100000" sheet="1" objects="1" scenarios="1"/>
  <mergeCells count="1">
    <mergeCell ref="C1:O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C1:R57"/>
  <sheetViews>
    <sheetView topLeftCell="C34" zoomScaleNormal="100" workbookViewId="0">
      <selection activeCell="N47" sqref="N47"/>
    </sheetView>
  </sheetViews>
  <sheetFormatPr baseColWidth="10" defaultColWidth="11.44140625" defaultRowHeight="13.2" x14ac:dyDescent="0.25"/>
  <cols>
    <col min="1" max="2" width="11.44140625" style="2"/>
    <col min="3" max="3" width="26" style="2" customWidth="1"/>
    <col min="4" max="4" width="11.88671875" style="2" customWidth="1"/>
    <col min="5" max="5" width="10.5546875" style="2" customWidth="1"/>
    <col min="6" max="6" width="11.109375" style="2" customWidth="1"/>
    <col min="7" max="7" width="10.44140625" style="2" customWidth="1"/>
    <col min="8" max="8" width="9.6640625" style="2" bestFit="1" customWidth="1"/>
    <col min="9" max="9" width="10.88671875" style="2" customWidth="1"/>
    <col min="10" max="10" width="11.44140625" style="2"/>
    <col min="11" max="11" width="1.109375" style="2" customWidth="1"/>
    <col min="12" max="12" width="22.5546875" style="2" customWidth="1"/>
    <col min="13" max="16" width="11.5546875" style="2" bestFit="1" customWidth="1"/>
    <col min="17" max="16384" width="11.44140625" style="2"/>
  </cols>
  <sheetData>
    <row r="1" spans="3:18" ht="19.95" customHeight="1" x14ac:dyDescent="0.25">
      <c r="C1" s="353" t="s">
        <v>335</v>
      </c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3" spans="3:18" ht="13.2" customHeight="1" x14ac:dyDescent="0.25">
      <c r="C3" s="354" t="s">
        <v>269</v>
      </c>
      <c r="D3" s="355"/>
      <c r="E3" s="355"/>
      <c r="F3" s="355"/>
      <c r="G3" s="355"/>
      <c r="H3" s="355"/>
      <c r="I3" s="356"/>
    </row>
    <row r="4" spans="3:18" ht="13.2" customHeight="1" x14ac:dyDescent="0.25">
      <c r="C4" s="357"/>
      <c r="D4" s="358"/>
      <c r="E4" s="358"/>
      <c r="F4" s="358"/>
      <c r="G4" s="358"/>
      <c r="H4" s="358"/>
      <c r="I4" s="359"/>
    </row>
    <row r="5" spans="3:18" ht="13.8" x14ac:dyDescent="0.25">
      <c r="C5" s="291"/>
      <c r="D5" s="292" t="s">
        <v>1</v>
      </c>
      <c r="E5" s="292" t="s">
        <v>2</v>
      </c>
      <c r="F5" s="292" t="s">
        <v>13</v>
      </c>
      <c r="G5" s="292" t="s">
        <v>14</v>
      </c>
      <c r="H5" s="292" t="s">
        <v>15</v>
      </c>
      <c r="I5" s="293" t="s">
        <v>16</v>
      </c>
    </row>
    <row r="6" spans="3:18" ht="13.8" x14ac:dyDescent="0.25">
      <c r="C6" s="95" t="s">
        <v>334</v>
      </c>
      <c r="D6" s="205"/>
      <c r="E6" s="205">
        <v>9000</v>
      </c>
      <c r="F6" s="205"/>
      <c r="G6" s="205"/>
      <c r="H6" s="205"/>
      <c r="I6" s="289"/>
    </row>
    <row r="7" spans="3:18" ht="13.8" x14ac:dyDescent="0.25">
      <c r="C7" s="95" t="s">
        <v>243</v>
      </c>
      <c r="D7" s="63"/>
      <c r="E7" s="63"/>
      <c r="F7" s="362">
        <v>0.15</v>
      </c>
      <c r="G7" s="362"/>
      <c r="H7" s="362"/>
      <c r="I7" s="363"/>
    </row>
    <row r="8" spans="3:18" ht="13.8" x14ac:dyDescent="0.25">
      <c r="C8" s="95" t="s">
        <v>125</v>
      </c>
      <c r="D8" s="63"/>
      <c r="E8" s="362">
        <v>0.35</v>
      </c>
      <c r="F8" s="362"/>
      <c r="G8" s="362"/>
      <c r="H8" s="362"/>
      <c r="I8" s="363"/>
    </row>
    <row r="9" spans="3:18" ht="13.8" x14ac:dyDescent="0.25">
      <c r="C9" s="95" t="s">
        <v>126</v>
      </c>
      <c r="D9" s="63"/>
      <c r="E9" s="362">
        <v>0.15</v>
      </c>
      <c r="F9" s="362"/>
      <c r="G9" s="362"/>
      <c r="H9" s="362"/>
      <c r="I9" s="363"/>
    </row>
    <row r="10" spans="3:18" ht="13.8" x14ac:dyDescent="0.25">
      <c r="C10" s="95" t="s">
        <v>244</v>
      </c>
      <c r="D10" s="63"/>
      <c r="E10" s="362">
        <v>0.2</v>
      </c>
      <c r="F10" s="362"/>
      <c r="G10" s="362"/>
      <c r="H10" s="362"/>
      <c r="I10" s="363"/>
    </row>
    <row r="11" spans="3:18" ht="13.8" x14ac:dyDescent="0.25">
      <c r="C11" s="95" t="s">
        <v>132</v>
      </c>
      <c r="D11" s="63">
        <v>1800</v>
      </c>
      <c r="E11" s="63"/>
      <c r="F11" s="63"/>
      <c r="G11" s="63"/>
      <c r="H11" s="63"/>
      <c r="I11" s="99"/>
    </row>
    <row r="12" spans="3:18" ht="13.8" x14ac:dyDescent="0.25">
      <c r="C12" s="95" t="s">
        <v>133</v>
      </c>
      <c r="D12" s="63">
        <v>4000</v>
      </c>
      <c r="E12" s="63"/>
      <c r="F12" s="63"/>
      <c r="G12" s="63"/>
      <c r="H12" s="63"/>
      <c r="I12" s="99"/>
    </row>
    <row r="13" spans="3:18" ht="13.8" x14ac:dyDescent="0.25">
      <c r="C13" s="95" t="s">
        <v>199</v>
      </c>
      <c r="D13" s="63">
        <v>12500</v>
      </c>
      <c r="E13" s="63"/>
      <c r="F13" s="63"/>
      <c r="G13" s="63"/>
      <c r="H13" s="63"/>
      <c r="I13" s="99"/>
      <c r="Q13" s="5"/>
      <c r="R13" s="5"/>
    </row>
    <row r="14" spans="3:18" ht="13.8" x14ac:dyDescent="0.25">
      <c r="C14" s="95" t="s">
        <v>245</v>
      </c>
      <c r="D14" s="181">
        <v>0.1</v>
      </c>
      <c r="E14" s="63"/>
      <c r="F14" s="63">
        <v>60</v>
      </c>
      <c r="G14" s="63">
        <v>45</v>
      </c>
      <c r="H14" s="63"/>
      <c r="I14" s="99"/>
      <c r="L14" s="7"/>
      <c r="Q14" s="4"/>
      <c r="R14" s="4"/>
    </row>
    <row r="15" spans="3:18" ht="13.8" x14ac:dyDescent="0.25">
      <c r="C15" s="95" t="s">
        <v>127</v>
      </c>
      <c r="D15" s="63"/>
      <c r="E15" s="360">
        <v>3.0303030303030304E-2</v>
      </c>
      <c r="F15" s="360"/>
      <c r="G15" s="360"/>
      <c r="H15" s="360"/>
      <c r="I15" s="361"/>
      <c r="Q15" s="4"/>
      <c r="R15" s="4"/>
    </row>
    <row r="16" spans="3:18" ht="13.8" x14ac:dyDescent="0.25">
      <c r="C16" s="95" t="s">
        <v>128</v>
      </c>
      <c r="D16" s="63"/>
      <c r="E16" s="360">
        <v>0.2</v>
      </c>
      <c r="F16" s="360"/>
      <c r="G16" s="360"/>
      <c r="H16" s="360"/>
      <c r="I16" s="361"/>
      <c r="Q16" s="4"/>
      <c r="R16" s="4"/>
    </row>
    <row r="17" spans="3:18" ht="13.8" x14ac:dyDescent="0.25">
      <c r="C17" s="95" t="s">
        <v>246</v>
      </c>
      <c r="D17" s="63"/>
      <c r="E17" s="63"/>
      <c r="F17" s="63"/>
      <c r="G17" s="63"/>
      <c r="H17" s="63"/>
      <c r="I17" s="290">
        <v>0.15</v>
      </c>
      <c r="Q17" s="4"/>
      <c r="R17" s="4"/>
    </row>
    <row r="18" spans="3:18" ht="13.8" x14ac:dyDescent="0.25">
      <c r="C18" s="95" t="s">
        <v>270</v>
      </c>
      <c r="D18" s="63"/>
      <c r="E18" s="63"/>
      <c r="F18" s="63"/>
      <c r="G18" s="63"/>
      <c r="H18" s="63"/>
      <c r="I18" s="99">
        <v>1800</v>
      </c>
      <c r="Q18" s="4"/>
      <c r="R18" s="4"/>
    </row>
    <row r="19" spans="3:18" ht="13.8" x14ac:dyDescent="0.25">
      <c r="C19" s="95" t="s">
        <v>282</v>
      </c>
      <c r="D19" s="63">
        <v>1000</v>
      </c>
      <c r="E19" s="63"/>
      <c r="F19" s="63"/>
      <c r="G19" s="63"/>
      <c r="H19" s="63"/>
      <c r="I19" s="99"/>
      <c r="Q19" s="4"/>
      <c r="R19" s="4"/>
    </row>
    <row r="20" spans="3:18" ht="13.8" x14ac:dyDescent="0.25">
      <c r="C20" s="95" t="s">
        <v>200</v>
      </c>
      <c r="D20" s="181">
        <v>0.3</v>
      </c>
      <c r="E20" s="63"/>
      <c r="F20" s="63"/>
      <c r="G20" s="63"/>
      <c r="H20" s="63"/>
      <c r="I20" s="99"/>
    </row>
    <row r="21" spans="3:18" ht="13.8" x14ac:dyDescent="0.25">
      <c r="C21" s="95" t="s">
        <v>185</v>
      </c>
      <c r="D21" s="181">
        <v>0.1</v>
      </c>
      <c r="E21" s="63"/>
      <c r="F21" s="63"/>
      <c r="G21" s="63"/>
      <c r="H21" s="63"/>
      <c r="I21" s="99"/>
    </row>
    <row r="22" spans="3:18" ht="13.8" x14ac:dyDescent="0.25">
      <c r="C22" s="95" t="s">
        <v>283</v>
      </c>
      <c r="D22" s="206">
        <v>1.5</v>
      </c>
      <c r="E22" s="63"/>
      <c r="F22" s="63"/>
      <c r="G22" s="63"/>
      <c r="H22" s="63"/>
      <c r="I22" s="99"/>
    </row>
    <row r="23" spans="3:18" ht="13.8" x14ac:dyDescent="0.25">
      <c r="C23" s="95" t="s">
        <v>25</v>
      </c>
      <c r="D23" s="181">
        <v>0.15</v>
      </c>
      <c r="E23" s="63"/>
      <c r="F23" s="63"/>
      <c r="G23" s="63"/>
      <c r="H23" s="63"/>
      <c r="I23" s="99"/>
    </row>
    <row r="24" spans="3:18" ht="13.8" x14ac:dyDescent="0.25">
      <c r="C24" s="96"/>
      <c r="D24" s="182"/>
      <c r="E24" s="182"/>
      <c r="F24" s="182"/>
      <c r="G24" s="182"/>
      <c r="H24" s="182"/>
      <c r="I24" s="100"/>
    </row>
    <row r="25" spans="3:18" x14ac:dyDescent="0.25">
      <c r="C25" s="4"/>
      <c r="D25" s="4"/>
      <c r="E25" s="4"/>
      <c r="F25" s="4"/>
      <c r="G25" s="4"/>
      <c r="H25" s="4"/>
      <c r="I25" s="4"/>
    </row>
    <row r="27" spans="3:18" ht="13.8" x14ac:dyDescent="0.25">
      <c r="C27" s="330" t="s">
        <v>37</v>
      </c>
      <c r="D27" s="287" t="s">
        <v>1</v>
      </c>
      <c r="E27" s="287" t="s">
        <v>2</v>
      </c>
      <c r="F27" s="287" t="s">
        <v>13</v>
      </c>
      <c r="G27" s="287" t="s">
        <v>14</v>
      </c>
      <c r="H27" s="287" t="s">
        <v>15</v>
      </c>
      <c r="I27" s="288" t="s">
        <v>16</v>
      </c>
    </row>
    <row r="28" spans="3:18" ht="13.8" x14ac:dyDescent="0.25">
      <c r="C28" s="95" t="s">
        <v>28</v>
      </c>
      <c r="D28" s="63"/>
      <c r="E28" s="63">
        <f>+E6</f>
        <v>9000</v>
      </c>
      <c r="F28" s="63">
        <f>+E28*(1+$F$7)</f>
        <v>10350</v>
      </c>
      <c r="G28" s="63">
        <f>+F28*(1+$F$7)</f>
        <v>11902.499999999998</v>
      </c>
      <c r="H28" s="63">
        <f>+G28*(1+$F$7)</f>
        <v>13687.874999999996</v>
      </c>
      <c r="I28" s="99"/>
    </row>
    <row r="29" spans="3:18" ht="13.8" x14ac:dyDescent="0.25">
      <c r="C29" s="95" t="s">
        <v>129</v>
      </c>
      <c r="D29" s="63">
        <f>+D19</f>
        <v>1000</v>
      </c>
      <c r="E29" s="63"/>
      <c r="F29" s="63"/>
      <c r="G29" s="63"/>
      <c r="H29" s="63"/>
      <c r="I29" s="99">
        <f>+((D12+D13+E33+F33+G33+H33)+I18)*I17</f>
        <v>1172.2727272727277</v>
      </c>
    </row>
    <row r="30" spans="3:18" ht="13.8" x14ac:dyDescent="0.25">
      <c r="C30" s="95" t="s">
        <v>29</v>
      </c>
      <c r="D30" s="63"/>
      <c r="E30" s="63">
        <f>+E28*-$E$8</f>
        <v>-3150</v>
      </c>
      <c r="F30" s="63">
        <f>+F28*-$E$8</f>
        <v>-3622.4999999999995</v>
      </c>
      <c r="G30" s="63">
        <f>+G28*-$E$8</f>
        <v>-4165.8749999999991</v>
      </c>
      <c r="H30" s="63">
        <f>+H28*-$E$8</f>
        <v>-4790.7562499999985</v>
      </c>
      <c r="I30" s="99"/>
    </row>
    <row r="31" spans="3:18" ht="13.8" x14ac:dyDescent="0.25">
      <c r="C31" s="95" t="s">
        <v>130</v>
      </c>
      <c r="D31" s="63"/>
      <c r="E31" s="63">
        <f>-$E$10*10000</f>
        <v>-2000</v>
      </c>
      <c r="F31" s="63">
        <f t="shared" ref="F31:H31" si="0">-$E$10*10000</f>
        <v>-2000</v>
      </c>
      <c r="G31" s="63">
        <f t="shared" si="0"/>
        <v>-2000</v>
      </c>
      <c r="H31" s="63">
        <f t="shared" si="0"/>
        <v>-2000</v>
      </c>
      <c r="I31" s="99"/>
    </row>
    <row r="32" spans="3:18" ht="13.8" x14ac:dyDescent="0.25">
      <c r="C32" s="95" t="s">
        <v>131</v>
      </c>
      <c r="D32" s="63"/>
      <c r="E32" s="63">
        <f>-$E$9*E28</f>
        <v>-1350</v>
      </c>
      <c r="F32" s="63">
        <f>-$E$9*F28</f>
        <v>-1552.5</v>
      </c>
      <c r="G32" s="63">
        <f>-$E$9*G28</f>
        <v>-1785.3749999999998</v>
      </c>
      <c r="H32" s="63">
        <f>-$E$9*H28</f>
        <v>-2053.1812499999992</v>
      </c>
      <c r="I32" s="99"/>
    </row>
    <row r="33" spans="3:16" ht="13.8" x14ac:dyDescent="0.25">
      <c r="C33" s="95" t="s">
        <v>30</v>
      </c>
      <c r="D33" s="63"/>
      <c r="E33" s="63">
        <f>-($D$12*$E$15+$D$13*$E$16)</f>
        <v>-2621.212121212121</v>
      </c>
      <c r="F33" s="63">
        <f t="shared" ref="F33:H33" si="1">-($D$12*$E$15+$D$13*$E$16)</f>
        <v>-2621.212121212121</v>
      </c>
      <c r="G33" s="63">
        <f t="shared" si="1"/>
        <v>-2621.212121212121</v>
      </c>
      <c r="H33" s="63">
        <f t="shared" si="1"/>
        <v>-2621.212121212121</v>
      </c>
      <c r="I33" s="99"/>
    </row>
    <row r="34" spans="3:16" ht="13.8" x14ac:dyDescent="0.25">
      <c r="C34" s="95" t="s">
        <v>75</v>
      </c>
      <c r="D34" s="63">
        <f>-SUM(D28:D33)*$D$20</f>
        <v>-300</v>
      </c>
      <c r="E34" s="63">
        <f t="shared" ref="E34:I34" si="2">-SUM(E28:E33)*$D$20</f>
        <v>36.363636363636303</v>
      </c>
      <c r="F34" s="63">
        <f t="shared" si="2"/>
        <v>-166.13636363636368</v>
      </c>
      <c r="G34" s="63">
        <f t="shared" si="2"/>
        <v>-399.0113636363634</v>
      </c>
      <c r="H34" s="63">
        <f t="shared" si="2"/>
        <v>-666.81761363636315</v>
      </c>
      <c r="I34" s="99">
        <f t="shared" si="2"/>
        <v>-351.6818181818183</v>
      </c>
    </row>
    <row r="35" spans="3:16" ht="13.8" x14ac:dyDescent="0.25">
      <c r="C35" s="110" t="s">
        <v>39</v>
      </c>
      <c r="D35" s="93">
        <f>SUM(D28:D34)</f>
        <v>700</v>
      </c>
      <c r="E35" s="93">
        <f t="shared" ref="E35:I35" si="3">SUM(E28:E34)</f>
        <v>-84.848484848484716</v>
      </c>
      <c r="F35" s="93">
        <f t="shared" si="3"/>
        <v>387.6515151515153</v>
      </c>
      <c r="G35" s="93">
        <f t="shared" si="3"/>
        <v>931.02651515151467</v>
      </c>
      <c r="H35" s="93">
        <f t="shared" si="3"/>
        <v>1555.907765151514</v>
      </c>
      <c r="I35" s="111">
        <f t="shared" si="3"/>
        <v>820.59090909090946</v>
      </c>
    </row>
    <row r="36" spans="3:16" ht="13.8" x14ac:dyDescent="0.25">
      <c r="L36" s="101" t="s">
        <v>24</v>
      </c>
      <c r="M36" s="323">
        <f>+(1/(1+D22))</f>
        <v>0.4</v>
      </c>
    </row>
    <row r="37" spans="3:16" ht="13.8" x14ac:dyDescent="0.25">
      <c r="L37" s="102" t="s">
        <v>22</v>
      </c>
      <c r="M37" s="324">
        <f>1-M36</f>
        <v>0.6</v>
      </c>
    </row>
    <row r="38" spans="3:16" ht="13.8" x14ac:dyDescent="0.25">
      <c r="C38" s="330" t="s">
        <v>0</v>
      </c>
      <c r="D38" s="287" t="s">
        <v>1</v>
      </c>
      <c r="E38" s="287" t="s">
        <v>2</v>
      </c>
      <c r="F38" s="287" t="s">
        <v>13</v>
      </c>
      <c r="G38" s="287" t="s">
        <v>14</v>
      </c>
      <c r="H38" s="287" t="s">
        <v>15</v>
      </c>
      <c r="I38" s="288" t="s">
        <v>16</v>
      </c>
      <c r="J38" s="56"/>
      <c r="K38" s="56"/>
      <c r="L38" s="103" t="s">
        <v>70</v>
      </c>
      <c r="M38" s="325">
        <f>+D21</f>
        <v>0.1</v>
      </c>
      <c r="N38" s="56"/>
      <c r="O38" s="56"/>
      <c r="P38" s="56"/>
    </row>
    <row r="39" spans="3:16" ht="13.8" x14ac:dyDescent="0.25">
      <c r="C39" s="95" t="s">
        <v>64</v>
      </c>
      <c r="D39" s="63">
        <f t="shared" ref="D39:I39" si="4">+D35</f>
        <v>700</v>
      </c>
      <c r="E39" s="63">
        <f t="shared" si="4"/>
        <v>-84.848484848484716</v>
      </c>
      <c r="F39" s="63">
        <f t="shared" si="4"/>
        <v>387.6515151515153</v>
      </c>
      <c r="G39" s="63">
        <f t="shared" si="4"/>
        <v>931.02651515151467</v>
      </c>
      <c r="H39" s="63">
        <f t="shared" si="4"/>
        <v>1555.907765151514</v>
      </c>
      <c r="I39" s="99">
        <f t="shared" si="4"/>
        <v>820.59090909090946</v>
      </c>
      <c r="J39" s="56"/>
      <c r="K39" s="56"/>
      <c r="N39" s="56"/>
      <c r="O39" s="56"/>
      <c r="P39" s="56"/>
    </row>
    <row r="40" spans="3:16" ht="13.8" x14ac:dyDescent="0.25">
      <c r="C40" s="95" t="s">
        <v>247</v>
      </c>
      <c r="D40" s="63">
        <v>0</v>
      </c>
      <c r="E40" s="63"/>
      <c r="F40" s="63"/>
      <c r="G40" s="63"/>
      <c r="H40" s="63"/>
      <c r="I40" s="99">
        <f>+D11+D12+D13+E33+F33+G33+H33</f>
        <v>7815.1515151515187</v>
      </c>
      <c r="J40" s="56"/>
      <c r="K40" s="56"/>
      <c r="L40" s="270"/>
      <c r="M40" s="287" t="s">
        <v>1</v>
      </c>
      <c r="N40" s="287" t="s">
        <v>2</v>
      </c>
      <c r="O40" s="287" t="s">
        <v>13</v>
      </c>
      <c r="P40" s="288" t="s">
        <v>14</v>
      </c>
    </row>
    <row r="41" spans="3:16" ht="13.8" x14ac:dyDescent="0.25">
      <c r="C41" s="95" t="s">
        <v>188</v>
      </c>
      <c r="D41" s="63"/>
      <c r="E41" s="63"/>
      <c r="F41" s="63"/>
      <c r="G41" s="63"/>
      <c r="H41" s="63"/>
      <c r="I41" s="99">
        <f>-SUM(D47:G47)</f>
        <v>1473.7874999999997</v>
      </c>
      <c r="J41" s="56"/>
      <c r="K41" s="56"/>
      <c r="L41" s="95" t="s">
        <v>101</v>
      </c>
      <c r="M41" s="63">
        <f>-D48*M37</f>
        <v>11100</v>
      </c>
      <c r="N41" s="63">
        <f>+M41-N42</f>
        <v>7746.525679758307</v>
      </c>
      <c r="O41" s="63">
        <f>+N41-O42</f>
        <v>4057.7039274924446</v>
      </c>
      <c r="P41" s="99">
        <f>+O41-P42</f>
        <v>-4.0927261579781771E-12</v>
      </c>
    </row>
    <row r="42" spans="3:16" ht="13.8" x14ac:dyDescent="0.25">
      <c r="C42" s="95" t="s">
        <v>65</v>
      </c>
      <c r="D42" s="63"/>
      <c r="E42" s="63">
        <f>-E33</f>
        <v>2621.212121212121</v>
      </c>
      <c r="F42" s="63">
        <f>-F33</f>
        <v>2621.212121212121</v>
      </c>
      <c r="G42" s="63">
        <f>-G33</f>
        <v>2621.212121212121</v>
      </c>
      <c r="H42" s="63">
        <f>-H33</f>
        <v>2621.212121212121</v>
      </c>
      <c r="I42" s="99"/>
      <c r="J42" s="56"/>
      <c r="K42" s="56"/>
      <c r="L42" s="95" t="s">
        <v>102</v>
      </c>
      <c r="M42" s="63"/>
      <c r="N42" s="63">
        <f>+N44-N43</f>
        <v>3353.474320241693</v>
      </c>
      <c r="O42" s="63">
        <f>+O44-O43</f>
        <v>3688.8217522658624</v>
      </c>
      <c r="P42" s="99">
        <f>+P44-P43</f>
        <v>4057.7039274924487</v>
      </c>
    </row>
    <row r="43" spans="3:16" ht="13.8" x14ac:dyDescent="0.25">
      <c r="C43" s="95" t="s">
        <v>5</v>
      </c>
      <c r="D43" s="63">
        <f>SUM(D44:D47)</f>
        <v>-19200</v>
      </c>
      <c r="E43" s="63">
        <f t="shared" ref="E43:I43" si="5">SUM(E44:E47)</f>
        <v>-135</v>
      </c>
      <c r="F43" s="63">
        <f t="shared" si="5"/>
        <v>-215.24999999999983</v>
      </c>
      <c r="G43" s="63">
        <f t="shared" si="5"/>
        <v>-223.53749999999982</v>
      </c>
      <c r="H43" s="63">
        <f t="shared" si="5"/>
        <v>0</v>
      </c>
      <c r="I43" s="99">
        <f t="shared" si="5"/>
        <v>0</v>
      </c>
      <c r="J43" s="56"/>
      <c r="K43" s="56"/>
      <c r="L43" s="95" t="s">
        <v>103</v>
      </c>
      <c r="M43" s="63"/>
      <c r="N43" s="63">
        <f>+M41*$M$38</f>
        <v>1110</v>
      </c>
      <c r="O43" s="63">
        <f>+N41*$M$38</f>
        <v>774.65256797583072</v>
      </c>
      <c r="P43" s="99">
        <f>+O41*$M$38</f>
        <v>405.77039274924448</v>
      </c>
    </row>
    <row r="44" spans="3:16" ht="13.8" x14ac:dyDescent="0.25">
      <c r="C44" s="95" t="s">
        <v>3</v>
      </c>
      <c r="D44" s="63">
        <f>-D13</f>
        <v>-12500</v>
      </c>
      <c r="E44" s="63"/>
      <c r="F44" s="63"/>
      <c r="G44" s="63"/>
      <c r="H44" s="63"/>
      <c r="I44" s="99"/>
      <c r="J44" s="56"/>
      <c r="K44" s="56"/>
      <c r="L44" s="110" t="s">
        <v>104</v>
      </c>
      <c r="M44" s="93"/>
      <c r="N44" s="93">
        <f>+PMT($M$38,3,-$M$41)</f>
        <v>4463.474320241693</v>
      </c>
      <c r="O44" s="93">
        <f>+PMT($M$38,3,-$M$41)</f>
        <v>4463.474320241693</v>
      </c>
      <c r="P44" s="111">
        <f>+PMT($M$38,3,-$M$41)</f>
        <v>4463.474320241693</v>
      </c>
    </row>
    <row r="45" spans="3:16" ht="13.8" x14ac:dyDescent="0.25">
      <c r="C45" s="95" t="s">
        <v>132</v>
      </c>
      <c r="D45" s="63">
        <f>-D11</f>
        <v>-1800</v>
      </c>
      <c r="E45" s="63"/>
      <c r="F45" s="63"/>
      <c r="G45" s="63"/>
      <c r="H45" s="63"/>
      <c r="I45" s="99"/>
      <c r="J45" s="56"/>
      <c r="K45" s="56"/>
      <c r="L45" s="56"/>
      <c r="M45" s="56"/>
      <c r="N45" s="56"/>
      <c r="O45" s="56"/>
      <c r="P45" s="56"/>
    </row>
    <row r="46" spans="3:16" ht="13.8" x14ac:dyDescent="0.25">
      <c r="C46" s="95" t="s">
        <v>133</v>
      </c>
      <c r="D46" s="63">
        <f>-D12</f>
        <v>-4000</v>
      </c>
      <c r="E46" s="63"/>
      <c r="F46" s="63"/>
      <c r="G46" s="63"/>
      <c r="H46" s="63"/>
      <c r="I46" s="99"/>
      <c r="J46" s="56"/>
      <c r="K46" s="56"/>
      <c r="L46" s="56"/>
      <c r="M46" s="56"/>
      <c r="N46" s="56"/>
      <c r="O46" s="56"/>
      <c r="P46" s="56"/>
    </row>
    <row r="47" spans="3:16" ht="13.8" x14ac:dyDescent="0.25">
      <c r="C47" s="95" t="s">
        <v>6</v>
      </c>
      <c r="D47" s="63">
        <f>-(E28-D28)*$D$14</f>
        <v>-900</v>
      </c>
      <c r="E47" s="63">
        <f>-(F28-E28)*$D$14</f>
        <v>-135</v>
      </c>
      <c r="F47" s="63">
        <f>-(G28-F28)*$D$14-F14</f>
        <v>-215.24999999999983</v>
      </c>
      <c r="G47" s="63">
        <f>-(H28-G28)*$D$14-G14</f>
        <v>-223.53749999999982</v>
      </c>
      <c r="H47" s="63"/>
      <c r="I47" s="99"/>
      <c r="J47" s="56"/>
      <c r="K47" s="56"/>
      <c r="L47" s="56"/>
      <c r="M47" s="56"/>
      <c r="N47" s="56"/>
      <c r="O47" s="56"/>
      <c r="P47" s="56"/>
    </row>
    <row r="48" spans="3:16" ht="13.8" x14ac:dyDescent="0.25">
      <c r="C48" s="110" t="s">
        <v>7</v>
      </c>
      <c r="D48" s="93">
        <f>SUM(D39:D43)</f>
        <v>-18500</v>
      </c>
      <c r="E48" s="93">
        <f t="shared" ref="E48:I48" si="6">SUM(E39:E43)</f>
        <v>2401.3636363636365</v>
      </c>
      <c r="F48" s="93">
        <f t="shared" si="6"/>
        <v>2793.6136363636365</v>
      </c>
      <c r="G48" s="93">
        <f t="shared" si="6"/>
        <v>3328.7011363636357</v>
      </c>
      <c r="H48" s="93">
        <f t="shared" si="6"/>
        <v>4177.1198863636346</v>
      </c>
      <c r="I48" s="111">
        <f t="shared" si="6"/>
        <v>10109.529924242428</v>
      </c>
      <c r="J48" s="56"/>
      <c r="K48" s="56"/>
      <c r="L48" s="56"/>
      <c r="M48" s="56"/>
      <c r="N48" s="56"/>
      <c r="O48" s="56"/>
      <c r="P48" s="56"/>
    </row>
    <row r="49" spans="3:16" ht="13.8" x14ac:dyDescent="0.25">
      <c r="C49" s="95" t="s">
        <v>8</v>
      </c>
      <c r="D49" s="63"/>
      <c r="E49" s="63">
        <f>-N44</f>
        <v>-4463.474320241693</v>
      </c>
      <c r="F49" s="63">
        <f>-O44</f>
        <v>-4463.474320241693</v>
      </c>
      <c r="G49" s="63">
        <f>-P44</f>
        <v>-4463.474320241693</v>
      </c>
      <c r="H49" s="63"/>
      <c r="I49" s="99"/>
      <c r="J49" s="56"/>
      <c r="K49" s="56"/>
      <c r="L49" s="318" t="s">
        <v>25</v>
      </c>
      <c r="M49" s="319">
        <f>+D23</f>
        <v>0.15</v>
      </c>
      <c r="N49" s="56"/>
      <c r="O49" s="56"/>
      <c r="P49" s="56"/>
    </row>
    <row r="50" spans="3:16" ht="13.8" x14ac:dyDescent="0.25">
      <c r="C50" s="95" t="s">
        <v>134</v>
      </c>
      <c r="D50" s="63"/>
      <c r="E50" s="63">
        <f>+N43*$D$20</f>
        <v>333</v>
      </c>
      <c r="F50" s="63">
        <f>+O43*$D$20</f>
        <v>232.3957703927492</v>
      </c>
      <c r="G50" s="63">
        <f>+P43*$D$20</f>
        <v>121.73111782477334</v>
      </c>
      <c r="H50" s="63"/>
      <c r="I50" s="99"/>
      <c r="J50" s="56"/>
      <c r="K50" s="56"/>
      <c r="L50" s="146" t="s">
        <v>136</v>
      </c>
      <c r="M50" s="230">
        <f>+D21</f>
        <v>0.1</v>
      </c>
      <c r="N50" s="56"/>
      <c r="O50" s="56"/>
      <c r="P50" s="56"/>
    </row>
    <row r="51" spans="3:16" ht="13.8" x14ac:dyDescent="0.25">
      <c r="C51" s="95" t="s">
        <v>10</v>
      </c>
      <c r="D51" s="63">
        <f>+M41</f>
        <v>11100</v>
      </c>
      <c r="E51" s="63"/>
      <c r="F51" s="63"/>
      <c r="G51" s="63"/>
      <c r="H51" s="63"/>
      <c r="I51" s="99"/>
      <c r="J51" s="56"/>
      <c r="K51" s="56"/>
      <c r="L51" s="146" t="s">
        <v>192</v>
      </c>
      <c r="M51" s="230">
        <f>+M36</f>
        <v>0.4</v>
      </c>
      <c r="N51" s="56"/>
      <c r="O51" s="56"/>
      <c r="P51" s="56"/>
    </row>
    <row r="52" spans="3:16" ht="13.8" x14ac:dyDescent="0.25">
      <c r="C52" s="110" t="s">
        <v>135</v>
      </c>
      <c r="D52" s="93">
        <f>SUM(D49:D51)</f>
        <v>11100</v>
      </c>
      <c r="E52" s="93">
        <f t="shared" ref="E52:G52" si="7">SUM(E49:E51)</f>
        <v>-4130.474320241693</v>
      </c>
      <c r="F52" s="93">
        <f t="shared" si="7"/>
        <v>-4231.078549848944</v>
      </c>
      <c r="G52" s="93">
        <f t="shared" si="7"/>
        <v>-4341.7432024169193</v>
      </c>
      <c r="H52" s="93"/>
      <c r="I52" s="111"/>
      <c r="J52" s="56"/>
      <c r="K52" s="56"/>
      <c r="L52" s="146" t="s">
        <v>193</v>
      </c>
      <c r="M52" s="230">
        <f>+M37</f>
        <v>0.6</v>
      </c>
      <c r="N52" s="56"/>
      <c r="O52" s="56"/>
      <c r="P52" s="56"/>
    </row>
    <row r="53" spans="3:16" ht="13.8" x14ac:dyDescent="0.25">
      <c r="C53" s="210" t="s">
        <v>12</v>
      </c>
      <c r="D53" s="204">
        <f>+D48+D52</f>
        <v>-7400</v>
      </c>
      <c r="E53" s="204">
        <f t="shared" ref="E53:I53" si="8">+E48+E52</f>
        <v>-1729.1106838780565</v>
      </c>
      <c r="F53" s="204">
        <f t="shared" si="8"/>
        <v>-1437.4649134853075</v>
      </c>
      <c r="G53" s="204">
        <f t="shared" si="8"/>
        <v>-1013.0420660532836</v>
      </c>
      <c r="H53" s="204">
        <f t="shared" si="8"/>
        <v>4177.1198863636346</v>
      </c>
      <c r="I53" s="211">
        <f t="shared" si="8"/>
        <v>10109.529924242428</v>
      </c>
      <c r="J53" s="56"/>
      <c r="K53" s="56"/>
      <c r="L53" s="146" t="s">
        <v>194</v>
      </c>
      <c r="M53" s="230">
        <f>+D20</f>
        <v>0.3</v>
      </c>
      <c r="N53" s="56"/>
      <c r="O53" s="56"/>
      <c r="P53" s="56"/>
    </row>
    <row r="54" spans="3:16" ht="13.8" x14ac:dyDescent="0.25">
      <c r="C54" s="56"/>
      <c r="D54" s="56"/>
      <c r="E54" s="56"/>
      <c r="F54" s="56"/>
      <c r="G54" s="56"/>
      <c r="H54" s="56"/>
      <c r="I54" s="56"/>
      <c r="J54" s="56"/>
      <c r="K54" s="56"/>
      <c r="L54" s="162" t="s">
        <v>72</v>
      </c>
      <c r="M54" s="304">
        <f>+M49*M51+M52*M50*(1-M53)</f>
        <v>0.10199999999999999</v>
      </c>
      <c r="N54" s="56"/>
      <c r="O54" s="56"/>
      <c r="P54" s="56"/>
    </row>
    <row r="55" spans="3:16" ht="13.8" x14ac:dyDescent="0.25">
      <c r="C55" s="129" t="s">
        <v>201</v>
      </c>
      <c r="D55" s="160">
        <f>+D48+NPV(M54,E48:I48)</f>
        <v>-2480.3538877531882</v>
      </c>
      <c r="E55" s="56"/>
      <c r="F55" s="129" t="s">
        <v>203</v>
      </c>
      <c r="G55" s="133">
        <f>IRR(D48:I48)</f>
        <v>5.8568210209540172E-2</v>
      </c>
      <c r="H55" s="56"/>
      <c r="I55" s="56"/>
      <c r="J55" s="56"/>
      <c r="K55" s="56"/>
      <c r="L55" s="56"/>
      <c r="M55" s="128"/>
      <c r="N55" s="56"/>
      <c r="O55" s="56"/>
      <c r="P55" s="56"/>
    </row>
    <row r="56" spans="3:16" ht="13.8" x14ac:dyDescent="0.25">
      <c r="C56" s="128"/>
      <c r="D56" s="128"/>
      <c r="E56" s="56"/>
      <c r="F56" s="128"/>
      <c r="G56" s="84"/>
      <c r="H56" s="56"/>
      <c r="I56" s="56"/>
      <c r="J56" s="56"/>
      <c r="K56" s="56"/>
      <c r="L56" s="56"/>
      <c r="M56" s="128"/>
      <c r="N56" s="56"/>
      <c r="O56" s="56"/>
      <c r="P56" s="56"/>
    </row>
    <row r="57" spans="3:16" ht="13.8" x14ac:dyDescent="0.25">
      <c r="C57" s="129" t="s">
        <v>202</v>
      </c>
      <c r="D57" s="160">
        <f>+D53+NPV(M49,E53:I53)</f>
        <v>-3242.0911661849304</v>
      </c>
      <c r="E57" s="56"/>
      <c r="F57" s="129" t="s">
        <v>204</v>
      </c>
      <c r="G57" s="133">
        <f>IRR(D53:I53)</f>
        <v>5.3006603145492104E-2</v>
      </c>
      <c r="H57" s="56"/>
      <c r="I57" s="56"/>
      <c r="J57" s="56"/>
      <c r="K57" s="56"/>
      <c r="L57" s="56"/>
      <c r="M57" s="128"/>
      <c r="N57" s="56"/>
      <c r="O57" s="56"/>
      <c r="P57" s="56"/>
    </row>
  </sheetData>
  <sheetProtection algorithmName="SHA-512" hashValue="Kh7+2O+KlB5CwD69VOCl22bBNxWUU6gq8wGsv0DfObQ6q1iHxb4KyhXznT8IDh7A3C/v72TECpmhUKwMROqlVg==" saltValue="C1tRWJRUvdvSsEBRW5wY0A==" spinCount="100000" sheet="1" objects="1" scenarios="1"/>
  <mergeCells count="8">
    <mergeCell ref="C1:P1"/>
    <mergeCell ref="C3:I4"/>
    <mergeCell ref="E15:I15"/>
    <mergeCell ref="E16:I16"/>
    <mergeCell ref="F7:I7"/>
    <mergeCell ref="E8:I8"/>
    <mergeCell ref="E9:I9"/>
    <mergeCell ref="E10:I10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B1:P59"/>
  <sheetViews>
    <sheetView topLeftCell="A7" zoomScaleNormal="100" zoomScaleSheetLayoutView="30" workbookViewId="0">
      <selection activeCell="E53" sqref="E53"/>
    </sheetView>
  </sheetViews>
  <sheetFormatPr baseColWidth="10" defaultColWidth="11.44140625" defaultRowHeight="13.8" x14ac:dyDescent="0.25"/>
  <cols>
    <col min="1" max="1" width="11.44140625" style="56"/>
    <col min="2" max="2" width="11.6640625" style="56" customWidth="1"/>
    <col min="3" max="3" width="22.109375" style="56" bestFit="1" customWidth="1"/>
    <col min="4" max="4" width="15.33203125" style="56" bestFit="1" customWidth="1"/>
    <col min="5" max="6" width="13.88671875" style="56" bestFit="1" customWidth="1"/>
    <col min="7" max="7" width="14.33203125" style="56" bestFit="1" customWidth="1"/>
    <col min="8" max="8" width="14.5546875" style="56" bestFit="1" customWidth="1"/>
    <col min="9" max="9" width="13.44140625" style="56" bestFit="1" customWidth="1"/>
    <col min="10" max="10" width="3.44140625" style="56" customWidth="1"/>
    <col min="11" max="11" width="23" style="56" customWidth="1"/>
    <col min="12" max="12" width="11.88671875" style="56" bestFit="1" customWidth="1"/>
    <col min="13" max="16" width="13" style="56" bestFit="1" customWidth="1"/>
    <col min="17" max="16384" width="11.44140625" style="56"/>
  </cols>
  <sheetData>
    <row r="1" spans="3:16" ht="19.95" customHeight="1" x14ac:dyDescent="0.25">
      <c r="C1" s="353" t="s">
        <v>336</v>
      </c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3" spans="3:16" ht="14.4" customHeight="1" x14ac:dyDescent="0.25">
      <c r="C3" s="354" t="s">
        <v>269</v>
      </c>
      <c r="D3" s="355"/>
      <c r="E3" s="355"/>
      <c r="F3" s="355"/>
      <c r="G3" s="355"/>
      <c r="H3" s="355"/>
      <c r="I3" s="356"/>
    </row>
    <row r="4" spans="3:16" x14ac:dyDescent="0.25">
      <c r="C4" s="364"/>
      <c r="D4" s="365"/>
      <c r="E4" s="365"/>
      <c r="F4" s="365"/>
      <c r="G4" s="365"/>
      <c r="H4" s="365"/>
      <c r="I4" s="366"/>
    </row>
    <row r="5" spans="3:16" ht="15" customHeight="1" x14ac:dyDescent="0.25">
      <c r="C5" s="231"/>
      <c r="D5" s="251" t="s">
        <v>1</v>
      </c>
      <c r="E5" s="251" t="s">
        <v>2</v>
      </c>
      <c r="F5" s="251" t="s">
        <v>13</v>
      </c>
      <c r="G5" s="251" t="s">
        <v>14</v>
      </c>
      <c r="H5" s="251" t="s">
        <v>15</v>
      </c>
      <c r="I5" s="252" t="s">
        <v>16</v>
      </c>
    </row>
    <row r="6" spans="3:16" ht="15" customHeight="1" x14ac:dyDescent="0.25">
      <c r="C6" s="95" t="s">
        <v>28</v>
      </c>
      <c r="D6" s="63"/>
      <c r="E6" s="63">
        <v>100000</v>
      </c>
      <c r="F6" s="63">
        <f>+E6*(1+$E$7)</f>
        <v>120000</v>
      </c>
      <c r="G6" s="63">
        <f t="shared" ref="G6:H6" si="0">+F6*(1+$E$7)</f>
        <v>144000</v>
      </c>
      <c r="H6" s="119">
        <f t="shared" si="0"/>
        <v>172800</v>
      </c>
      <c r="I6" s="99"/>
    </row>
    <row r="7" spans="3:16" ht="15" customHeight="1" x14ac:dyDescent="0.25">
      <c r="C7" s="95" t="s">
        <v>243</v>
      </c>
      <c r="D7" s="63"/>
      <c r="E7" s="362">
        <v>0.2</v>
      </c>
      <c r="F7" s="362"/>
      <c r="G7" s="362"/>
      <c r="H7" s="362"/>
      <c r="I7" s="99"/>
    </row>
    <row r="8" spans="3:16" ht="15" customHeight="1" x14ac:dyDescent="0.25">
      <c r="C8" s="95" t="s">
        <v>39</v>
      </c>
      <c r="D8" s="63"/>
      <c r="E8" s="63">
        <v>5180</v>
      </c>
      <c r="F8" s="63">
        <v>19475</v>
      </c>
      <c r="G8" s="63">
        <v>35270</v>
      </c>
      <c r="H8" s="63">
        <v>52855</v>
      </c>
      <c r="I8" s="99"/>
    </row>
    <row r="9" spans="3:16" ht="15" customHeight="1" x14ac:dyDescent="0.25">
      <c r="C9" s="95" t="s">
        <v>97</v>
      </c>
      <c r="D9" s="63">
        <f>+E6*20%</f>
        <v>20000</v>
      </c>
      <c r="E9" s="63">
        <f>+F6*20%</f>
        <v>24000</v>
      </c>
      <c r="F9" s="63">
        <f>+G6*20%</f>
        <v>28800</v>
      </c>
      <c r="G9" s="63">
        <f>+H6*20%</f>
        <v>34560</v>
      </c>
      <c r="H9" s="63"/>
      <c r="I9" s="99"/>
    </row>
    <row r="10" spans="3:16" ht="15" customHeight="1" x14ac:dyDescent="0.25">
      <c r="C10" s="95" t="s">
        <v>137</v>
      </c>
      <c r="D10" s="63">
        <f>-D9</f>
        <v>-20000</v>
      </c>
      <c r="E10" s="63">
        <f>-(+E9-D9)</f>
        <v>-4000</v>
      </c>
      <c r="F10" s="63">
        <f>-(+F9-E9)</f>
        <v>-4800</v>
      </c>
      <c r="G10" s="63">
        <f>-(+G9-F9)</f>
        <v>-5760</v>
      </c>
      <c r="H10" s="63"/>
      <c r="I10" s="99"/>
    </row>
    <row r="11" spans="3:16" ht="15" customHeight="1" x14ac:dyDescent="0.25">
      <c r="C11" s="95" t="s">
        <v>5</v>
      </c>
      <c r="D11" s="63">
        <f>SUM(D12:D13)</f>
        <v>110000</v>
      </c>
      <c r="E11" s="63"/>
      <c r="F11" s="63"/>
      <c r="G11" s="63"/>
      <c r="H11" s="63"/>
      <c r="I11" s="99"/>
    </row>
    <row r="12" spans="3:16" ht="15" customHeight="1" x14ac:dyDescent="0.25">
      <c r="C12" s="95" t="s">
        <v>3</v>
      </c>
      <c r="D12" s="63">
        <v>90000</v>
      </c>
      <c r="E12" s="63"/>
      <c r="F12" s="63"/>
      <c r="G12" s="63"/>
      <c r="H12" s="63"/>
      <c r="I12" s="99">
        <v>15000</v>
      </c>
    </row>
    <row r="13" spans="3:16" ht="15" customHeight="1" x14ac:dyDescent="0.25">
      <c r="C13" s="95" t="s">
        <v>6</v>
      </c>
      <c r="D13" s="63">
        <f>-D10</f>
        <v>20000</v>
      </c>
      <c r="E13" s="63"/>
      <c r="F13" s="63"/>
      <c r="G13" s="63"/>
      <c r="H13" s="63"/>
      <c r="I13" s="99"/>
    </row>
    <row r="14" spans="3:16" ht="15" customHeight="1" x14ac:dyDescent="0.25">
      <c r="C14" s="95" t="s">
        <v>142</v>
      </c>
      <c r="D14" s="207">
        <f>4*((4+1)/2)</f>
        <v>10</v>
      </c>
      <c r="E14" s="181">
        <v>0.4</v>
      </c>
      <c r="F14" s="181">
        <v>0.3</v>
      </c>
      <c r="G14" s="181">
        <v>0.2</v>
      </c>
      <c r="H14" s="181">
        <v>0.1</v>
      </c>
      <c r="I14" s="99"/>
    </row>
    <row r="15" spans="3:16" ht="15" customHeight="1" x14ac:dyDescent="0.25">
      <c r="C15" s="95" t="s">
        <v>38</v>
      </c>
      <c r="D15" s="63"/>
      <c r="E15" s="362">
        <v>0.3</v>
      </c>
      <c r="F15" s="362"/>
      <c r="G15" s="362"/>
      <c r="H15" s="362"/>
      <c r="I15" s="363"/>
    </row>
    <row r="16" spans="3:16" ht="15" customHeight="1" x14ac:dyDescent="0.25">
      <c r="C16" s="95" t="s">
        <v>185</v>
      </c>
      <c r="D16" s="181">
        <v>0.1</v>
      </c>
      <c r="E16" s="63"/>
      <c r="F16" s="63"/>
      <c r="G16" s="63"/>
      <c r="H16" s="63"/>
      <c r="I16" s="99"/>
    </row>
    <row r="17" spans="2:16" ht="15" customHeight="1" x14ac:dyDescent="0.25">
      <c r="C17" s="95" t="s">
        <v>284</v>
      </c>
      <c r="D17" s="181">
        <v>0.6</v>
      </c>
      <c r="E17" s="63"/>
      <c r="F17" s="63"/>
      <c r="G17" s="63"/>
      <c r="H17" s="63"/>
      <c r="I17" s="99"/>
      <c r="K17" s="202"/>
      <c r="L17" s="203"/>
    </row>
    <row r="18" spans="2:16" ht="15" customHeight="1" x14ac:dyDescent="0.25">
      <c r="C18" s="95" t="s">
        <v>25</v>
      </c>
      <c r="D18" s="181">
        <v>0.15</v>
      </c>
      <c r="E18" s="63"/>
      <c r="F18" s="63"/>
      <c r="G18" s="63"/>
      <c r="H18" s="63"/>
      <c r="I18" s="99"/>
    </row>
    <row r="19" spans="2:16" ht="15" customHeight="1" x14ac:dyDescent="0.25">
      <c r="C19" s="96"/>
      <c r="D19" s="232"/>
      <c r="E19" s="182"/>
      <c r="F19" s="182"/>
      <c r="G19" s="182"/>
      <c r="H19" s="182"/>
      <c r="I19" s="100"/>
    </row>
    <row r="21" spans="2:16" x14ac:dyDescent="0.25">
      <c r="C21" s="301"/>
      <c r="D21" s="287" t="s">
        <v>1</v>
      </c>
      <c r="E21" s="287" t="s">
        <v>2</v>
      </c>
      <c r="F21" s="287" t="s">
        <v>13</v>
      </c>
      <c r="G21" s="287" t="s">
        <v>14</v>
      </c>
      <c r="H21" s="288" t="s">
        <v>15</v>
      </c>
      <c r="K21" s="213" t="s">
        <v>136</v>
      </c>
      <c r="L21" s="190">
        <f>+D16</f>
        <v>0.1</v>
      </c>
    </row>
    <row r="22" spans="2:16" x14ac:dyDescent="0.25">
      <c r="C22" s="95" t="s">
        <v>139</v>
      </c>
      <c r="D22" s="63"/>
      <c r="E22" s="63">
        <f>+E8/(1-30%)</f>
        <v>7400.0000000000009</v>
      </c>
      <c r="F22" s="63">
        <f>+F8/(1-30%)</f>
        <v>27821.428571428572</v>
      </c>
      <c r="G22" s="63">
        <f>+G8/(1-30%)</f>
        <v>50385.71428571429</v>
      </c>
      <c r="H22" s="99">
        <f>+H8/(1-30%)</f>
        <v>75507.142857142855</v>
      </c>
      <c r="K22" s="140"/>
      <c r="L22" s="108" t="s">
        <v>1</v>
      </c>
      <c r="M22" s="108" t="s">
        <v>2</v>
      </c>
      <c r="N22" s="108" t="s">
        <v>13</v>
      </c>
      <c r="O22" s="108" t="s">
        <v>14</v>
      </c>
      <c r="P22" s="109" t="s">
        <v>15</v>
      </c>
    </row>
    <row r="23" spans="2:16" ht="15.6" customHeight="1" x14ac:dyDescent="0.25">
      <c r="C23" s="50" t="s">
        <v>140</v>
      </c>
      <c r="D23" s="121"/>
      <c r="E23" s="121">
        <f>+M25</f>
        <v>6600</v>
      </c>
      <c r="F23" s="121">
        <f>+N25</f>
        <v>5177.8926955397546</v>
      </c>
      <c r="G23" s="121">
        <f>+O25</f>
        <v>3613.5746606334842</v>
      </c>
      <c r="H23" s="45">
        <f>+P25</f>
        <v>1892.8248222365867</v>
      </c>
      <c r="K23" s="95" t="s">
        <v>101</v>
      </c>
      <c r="L23" s="63">
        <f>+D11*D17</f>
        <v>66000</v>
      </c>
      <c r="M23" s="63">
        <f>+L23-M24</f>
        <v>51778.926955397546</v>
      </c>
      <c r="N23" s="63">
        <f>+M23-N24</f>
        <v>36135.74660633484</v>
      </c>
      <c r="O23" s="63">
        <f>+N23-O24</f>
        <v>18928.248222365866</v>
      </c>
      <c r="P23" s="99">
        <f>+O23-P24</f>
        <v>0</v>
      </c>
    </row>
    <row r="24" spans="2:16" x14ac:dyDescent="0.25">
      <c r="C24" s="110" t="s">
        <v>141</v>
      </c>
      <c r="D24" s="93"/>
      <c r="E24" s="93">
        <f>+E22+E23</f>
        <v>14000</v>
      </c>
      <c r="F24" s="93">
        <f>+F22+F23</f>
        <v>32999.321266968327</v>
      </c>
      <c r="G24" s="93">
        <f>+G22+G23</f>
        <v>53999.288946347777</v>
      </c>
      <c r="H24" s="111">
        <f>+H22+H23</f>
        <v>77399.967679379435</v>
      </c>
      <c r="K24" s="95" t="s">
        <v>102</v>
      </c>
      <c r="L24" s="63"/>
      <c r="M24" s="63">
        <f>+M26-M25</f>
        <v>14221.073044602457</v>
      </c>
      <c r="N24" s="63">
        <f>+N26-N25</f>
        <v>15643.180349062703</v>
      </c>
      <c r="O24" s="63">
        <f>+O26-O25</f>
        <v>17207.498383968974</v>
      </c>
      <c r="P24" s="99">
        <f>+P26-P25</f>
        <v>18928.24822236587</v>
      </c>
    </row>
    <row r="25" spans="2:16" x14ac:dyDescent="0.25">
      <c r="K25" s="95" t="s">
        <v>103</v>
      </c>
      <c r="L25" s="63"/>
      <c r="M25" s="63">
        <f>+L23*$L$21</f>
        <v>6600</v>
      </c>
      <c r="N25" s="63">
        <f>+M23*$L$21</f>
        <v>5177.8926955397546</v>
      </c>
      <c r="O25" s="63">
        <f>+N23*$L$21</f>
        <v>3613.5746606334842</v>
      </c>
      <c r="P25" s="99">
        <f>+O23*$L$21</f>
        <v>1892.8248222365867</v>
      </c>
    </row>
    <row r="26" spans="2:16" x14ac:dyDescent="0.25">
      <c r="C26" s="301"/>
      <c r="D26" s="287" t="s">
        <v>1</v>
      </c>
      <c r="E26" s="287" t="s">
        <v>2</v>
      </c>
      <c r="F26" s="287" t="s">
        <v>13</v>
      </c>
      <c r="G26" s="287" t="s">
        <v>14</v>
      </c>
      <c r="H26" s="288" t="s">
        <v>15</v>
      </c>
      <c r="K26" s="110" t="s">
        <v>104</v>
      </c>
      <c r="L26" s="93"/>
      <c r="M26" s="93">
        <f>PMT($L$21,4,-$L$23)</f>
        <v>20821.073044602457</v>
      </c>
      <c r="N26" s="93">
        <f>PMT($L$21,4,-$L$23)</f>
        <v>20821.073044602457</v>
      </c>
      <c r="O26" s="93">
        <f>PMT($L$21,4,-$L$23)</f>
        <v>20821.073044602457</v>
      </c>
      <c r="P26" s="111">
        <f>PMT($L$21,4,-$L$23)</f>
        <v>20821.073044602457</v>
      </c>
    </row>
    <row r="27" spans="2:16" x14ac:dyDescent="0.25">
      <c r="C27" s="95" t="s">
        <v>141</v>
      </c>
      <c r="D27" s="63"/>
      <c r="E27" s="63">
        <f>+E24</f>
        <v>14000</v>
      </c>
      <c r="F27" s="63">
        <f t="shared" ref="F27:H27" si="1">+F24</f>
        <v>32999.321266968327</v>
      </c>
      <c r="G27" s="63">
        <f t="shared" si="1"/>
        <v>53999.288946347777</v>
      </c>
      <c r="H27" s="99">
        <f t="shared" si="1"/>
        <v>77399.967679379435</v>
      </c>
    </row>
    <row r="28" spans="2:16" x14ac:dyDescent="0.25">
      <c r="C28" s="110" t="s">
        <v>64</v>
      </c>
      <c r="D28" s="93"/>
      <c r="E28" s="93">
        <f>+E24*(1-$E$15)</f>
        <v>9800</v>
      </c>
      <c r="F28" s="93">
        <f>+F24*(1-$E$15)</f>
        <v>23099.524886877829</v>
      </c>
      <c r="G28" s="93">
        <f>+G24*(1-$E$15)</f>
        <v>37799.502262443442</v>
      </c>
      <c r="H28" s="111">
        <f>+H24*(1-$E$15)</f>
        <v>54179.977375565599</v>
      </c>
      <c r="K28" s="212"/>
      <c r="L28" s="89"/>
      <c r="M28" s="89"/>
      <c r="N28" s="218" t="s">
        <v>138</v>
      </c>
      <c r="O28" s="90"/>
    </row>
    <row r="29" spans="2:16" x14ac:dyDescent="0.25">
      <c r="C29" s="128"/>
      <c r="D29" s="128"/>
      <c r="E29" s="128"/>
      <c r="F29" s="128"/>
      <c r="G29" s="128"/>
      <c r="H29" s="128"/>
      <c r="K29" s="221" t="s">
        <v>71</v>
      </c>
      <c r="L29" s="99">
        <f>-D44</f>
        <v>44000</v>
      </c>
      <c r="M29" s="98">
        <f>+L29/-$D$39</f>
        <v>0.4</v>
      </c>
      <c r="N29" s="340">
        <f>+D18</f>
        <v>0.15</v>
      </c>
      <c r="O29" s="98">
        <f>+M29*N29</f>
        <v>0.06</v>
      </c>
    </row>
    <row r="30" spans="2:16" x14ac:dyDescent="0.25">
      <c r="K30" s="222" t="s">
        <v>10</v>
      </c>
      <c r="L30" s="100">
        <f>+D42</f>
        <v>66000</v>
      </c>
      <c r="M30" s="217">
        <f>+L30/-$D$39</f>
        <v>0.6</v>
      </c>
      <c r="N30" s="105">
        <f>+D16</f>
        <v>0.1</v>
      </c>
      <c r="O30" s="217">
        <f>+M30*N30*(1-E15)</f>
        <v>4.1999999999999996E-2</v>
      </c>
    </row>
    <row r="31" spans="2:16" x14ac:dyDescent="0.25">
      <c r="B31" s="94" t="s">
        <v>68</v>
      </c>
      <c r="C31" s="303" t="s">
        <v>0</v>
      </c>
      <c r="D31" s="287" t="s">
        <v>1</v>
      </c>
      <c r="E31" s="287" t="s">
        <v>2</v>
      </c>
      <c r="F31" s="287" t="s">
        <v>13</v>
      </c>
      <c r="G31" s="287" t="s">
        <v>14</v>
      </c>
      <c r="H31" s="287" t="s">
        <v>15</v>
      </c>
      <c r="I31" s="288" t="s">
        <v>16</v>
      </c>
      <c r="M31" s="99"/>
      <c r="N31" s="219" t="s">
        <v>72</v>
      </c>
      <c r="O31" s="216">
        <f>+O29+O30</f>
        <v>0.10199999999999999</v>
      </c>
    </row>
    <row r="32" spans="2:16" x14ac:dyDescent="0.25">
      <c r="C32" s="95" t="s">
        <v>64</v>
      </c>
      <c r="D32" s="63"/>
      <c r="E32" s="63">
        <f>+E28</f>
        <v>9800</v>
      </c>
      <c r="F32" s="63">
        <f>+F28</f>
        <v>23099.524886877829</v>
      </c>
      <c r="G32" s="63">
        <f>+G28</f>
        <v>37799.502262443442</v>
      </c>
      <c r="H32" s="63">
        <f>+H28</f>
        <v>54179.977375565599</v>
      </c>
      <c r="I32" s="99">
        <f>I12*(1-E15)</f>
        <v>10500</v>
      </c>
      <c r="N32" s="117"/>
    </row>
    <row r="33" spans="3:15" x14ac:dyDescent="0.25">
      <c r="C33" s="95" t="s">
        <v>65</v>
      </c>
      <c r="D33" s="63"/>
      <c r="E33" s="63">
        <f>+$D$12*E14</f>
        <v>36000</v>
      </c>
      <c r="F33" s="63">
        <f>+$D$12*F14</f>
        <v>27000</v>
      </c>
      <c r="G33" s="63">
        <f>+$D$12*G14</f>
        <v>18000</v>
      </c>
      <c r="H33" s="63">
        <f>+$D$12*H14</f>
        <v>9000</v>
      </c>
      <c r="I33" s="99"/>
      <c r="N33" s="215" t="s">
        <v>25</v>
      </c>
      <c r="O33" s="214">
        <f>+D18</f>
        <v>0.15</v>
      </c>
    </row>
    <row r="34" spans="3:15" x14ac:dyDescent="0.25">
      <c r="C34" s="95" t="s">
        <v>143</v>
      </c>
      <c r="D34" s="63"/>
      <c r="E34" s="63"/>
      <c r="F34" s="63"/>
      <c r="G34" s="63"/>
      <c r="H34" s="63"/>
      <c r="I34" s="99">
        <f>-SUM(D38:G38)</f>
        <v>34560</v>
      </c>
    </row>
    <row r="35" spans="3:15" x14ac:dyDescent="0.25">
      <c r="C35" s="95" t="s">
        <v>87</v>
      </c>
      <c r="D35" s="63"/>
      <c r="E35" s="63"/>
      <c r="F35" s="63"/>
      <c r="G35" s="63"/>
      <c r="H35" s="63"/>
      <c r="I35" s="99">
        <v>0</v>
      </c>
    </row>
    <row r="36" spans="3:15" x14ac:dyDescent="0.25">
      <c r="C36" s="95" t="s">
        <v>5</v>
      </c>
      <c r="D36" s="63">
        <f>SUM(D37:D38)</f>
        <v>-110000</v>
      </c>
      <c r="E36" s="63">
        <f>SUM(E37:E38)</f>
        <v>-4000</v>
      </c>
      <c r="F36" s="63">
        <f>SUM(F37:F38)</f>
        <v>-4800</v>
      </c>
      <c r="G36" s="63">
        <f>SUM(G37:G38)</f>
        <v>-5760</v>
      </c>
      <c r="H36" s="63">
        <f>SUM(H37:H38)</f>
        <v>0</v>
      </c>
      <c r="I36" s="99"/>
    </row>
    <row r="37" spans="3:15" x14ac:dyDescent="0.25">
      <c r="C37" s="95" t="s">
        <v>144</v>
      </c>
      <c r="D37" s="63">
        <f>-D12</f>
        <v>-90000</v>
      </c>
      <c r="E37" s="63"/>
      <c r="F37" s="63"/>
      <c r="G37" s="63"/>
      <c r="H37" s="63"/>
      <c r="I37" s="99"/>
    </row>
    <row r="38" spans="3:15" x14ac:dyDescent="0.25">
      <c r="C38" s="95" t="s">
        <v>6</v>
      </c>
      <c r="D38" s="63">
        <f>+D10</f>
        <v>-20000</v>
      </c>
      <c r="E38" s="63">
        <f>+E10</f>
        <v>-4000</v>
      </c>
      <c r="F38" s="63">
        <f>+F10</f>
        <v>-4800</v>
      </c>
      <c r="G38" s="63">
        <f>+G10</f>
        <v>-5760</v>
      </c>
      <c r="H38" s="63"/>
      <c r="I38" s="99"/>
    </row>
    <row r="39" spans="3:15" x14ac:dyDescent="0.25">
      <c r="C39" s="110" t="s">
        <v>7</v>
      </c>
      <c r="D39" s="93">
        <f>SUM(D32:D36)</f>
        <v>-110000</v>
      </c>
      <c r="E39" s="93">
        <f t="shared" ref="E39:I39" si="2">SUM(E32:E36)</f>
        <v>41800</v>
      </c>
      <c r="F39" s="93">
        <f t="shared" si="2"/>
        <v>45299.524886877829</v>
      </c>
      <c r="G39" s="93">
        <f t="shared" si="2"/>
        <v>50039.502262443442</v>
      </c>
      <c r="H39" s="93">
        <f t="shared" si="2"/>
        <v>63179.977375565599</v>
      </c>
      <c r="I39" s="111">
        <f t="shared" si="2"/>
        <v>45060</v>
      </c>
    </row>
    <row r="40" spans="3:15" x14ac:dyDescent="0.25">
      <c r="C40" s="95" t="s">
        <v>8</v>
      </c>
      <c r="D40" s="63"/>
      <c r="E40" s="63">
        <f>-M26</f>
        <v>-20821.073044602457</v>
      </c>
      <c r="F40" s="63">
        <f>-N26</f>
        <v>-20821.073044602457</v>
      </c>
      <c r="G40" s="63">
        <f>-O26</f>
        <v>-20821.073044602457</v>
      </c>
      <c r="H40" s="63">
        <f>-P26</f>
        <v>-20821.073044602457</v>
      </c>
      <c r="I40" s="99"/>
    </row>
    <row r="41" spans="3:15" x14ac:dyDescent="0.25">
      <c r="C41" s="95" t="s">
        <v>134</v>
      </c>
      <c r="D41" s="63"/>
      <c r="E41" s="63">
        <f>+M25*$E$15</f>
        <v>1980</v>
      </c>
      <c r="F41" s="63">
        <f>+N25*$E$15</f>
        <v>1553.3678086619263</v>
      </c>
      <c r="G41" s="63">
        <f>+O25*$E$15</f>
        <v>1084.0723981900453</v>
      </c>
      <c r="H41" s="63">
        <f>+P25*$E$15</f>
        <v>567.84744667097596</v>
      </c>
      <c r="I41" s="99"/>
    </row>
    <row r="42" spans="3:15" x14ac:dyDescent="0.25">
      <c r="C42" s="95" t="s">
        <v>145</v>
      </c>
      <c r="D42" s="63">
        <f>+L23</f>
        <v>66000</v>
      </c>
      <c r="E42" s="63"/>
      <c r="F42" s="63"/>
      <c r="G42" s="63"/>
      <c r="H42" s="63"/>
      <c r="I42" s="99"/>
    </row>
    <row r="43" spans="3:15" x14ac:dyDescent="0.25">
      <c r="C43" s="110" t="s">
        <v>205</v>
      </c>
      <c r="D43" s="93">
        <f>SUM(D40:D42)</f>
        <v>66000</v>
      </c>
      <c r="E43" s="93">
        <f t="shared" ref="E43:I43" si="3">SUM(E40:E42)</f>
        <v>-18841.073044602457</v>
      </c>
      <c r="F43" s="93">
        <f t="shared" si="3"/>
        <v>-19267.705235940532</v>
      </c>
      <c r="G43" s="93">
        <f t="shared" si="3"/>
        <v>-19737.000646412413</v>
      </c>
      <c r="H43" s="93">
        <f t="shared" si="3"/>
        <v>-20253.22559793148</v>
      </c>
      <c r="I43" s="111">
        <f t="shared" si="3"/>
        <v>0</v>
      </c>
    </row>
    <row r="44" spans="3:15" x14ac:dyDescent="0.25">
      <c r="C44" s="210" t="s">
        <v>12</v>
      </c>
      <c r="D44" s="204">
        <f>+D39+D43</f>
        <v>-44000</v>
      </c>
      <c r="E44" s="204">
        <f t="shared" ref="E44:I44" si="4">+E39+E43</f>
        <v>22958.926955397543</v>
      </c>
      <c r="F44" s="204">
        <f t="shared" si="4"/>
        <v>26031.819650937297</v>
      </c>
      <c r="G44" s="204">
        <f t="shared" si="4"/>
        <v>30302.50161603103</v>
      </c>
      <c r="H44" s="204">
        <f t="shared" si="4"/>
        <v>42926.751777634119</v>
      </c>
      <c r="I44" s="211">
        <f t="shared" si="4"/>
        <v>45060</v>
      </c>
    </row>
    <row r="46" spans="3:15" x14ac:dyDescent="0.25">
      <c r="C46" s="131" t="s">
        <v>201</v>
      </c>
      <c r="D46" s="160">
        <f>+D39+NPV(O31,E39:I39)</f>
        <v>73190.090163518704</v>
      </c>
      <c r="F46" s="131" t="s">
        <v>203</v>
      </c>
      <c r="G46" s="133">
        <f>IRR(D39:I39)</f>
        <v>0.32683155016980292</v>
      </c>
    </row>
    <row r="47" spans="3:15" ht="7.95" customHeight="1" x14ac:dyDescent="0.25">
      <c r="C47" s="85"/>
      <c r="D47" s="85"/>
      <c r="F47" s="128"/>
      <c r="G47" s="84"/>
    </row>
    <row r="48" spans="3:15" x14ac:dyDescent="0.25">
      <c r="C48" s="131" t="s">
        <v>202</v>
      </c>
      <c r="D48" s="160">
        <f>+D44+NPV(N29,E44:I44)</f>
        <v>62518.759926316343</v>
      </c>
      <c r="F48" s="131" t="s">
        <v>204</v>
      </c>
      <c r="G48" s="133">
        <f>IRR(D44:I44)</f>
        <v>0.58153577846667526</v>
      </c>
    </row>
    <row r="50" spans="2:9" x14ac:dyDescent="0.25">
      <c r="B50" s="94" t="s">
        <v>69</v>
      </c>
      <c r="C50" s="303" t="s">
        <v>146</v>
      </c>
      <c r="D50" s="287" t="s">
        <v>1</v>
      </c>
      <c r="E50" s="287" t="s">
        <v>2</v>
      </c>
      <c r="F50" s="287" t="s">
        <v>13</v>
      </c>
      <c r="G50" s="287" t="s">
        <v>14</v>
      </c>
      <c r="H50" s="287" t="s">
        <v>15</v>
      </c>
      <c r="I50" s="288" t="s">
        <v>16</v>
      </c>
    </row>
    <row r="51" spans="2:9" x14ac:dyDescent="0.25">
      <c r="C51" s="95" t="s">
        <v>248</v>
      </c>
      <c r="D51" s="63">
        <v>1</v>
      </c>
      <c r="E51" s="63">
        <f>1/(1+$O$31)^1</f>
        <v>0.90744101633393826</v>
      </c>
      <c r="F51" s="63">
        <f>1/(1+$O$31)^2</f>
        <v>0.8234491981251707</v>
      </c>
      <c r="G51" s="63">
        <f>1/(1+$O$31)^3</f>
        <v>0.74723157724607137</v>
      </c>
      <c r="H51" s="63">
        <f>1/(1+$O$31)^4</f>
        <v>0.67806858189298669</v>
      </c>
      <c r="I51" s="99">
        <f>1/(1+$O$31)^5</f>
        <v>0.61530724309708407</v>
      </c>
    </row>
    <row r="52" spans="2:9" x14ac:dyDescent="0.25">
      <c r="C52" s="96" t="s">
        <v>249</v>
      </c>
      <c r="D52" s="182">
        <v>1</v>
      </c>
      <c r="E52" s="182">
        <f>1/(1+$N$29)^1</f>
        <v>0.86956521739130443</v>
      </c>
      <c r="F52" s="182">
        <f>1/(1+$N$29)^2</f>
        <v>0.7561436672967865</v>
      </c>
      <c r="G52" s="182">
        <f>1/(1+$N$29)^3</f>
        <v>0.65751623243198831</v>
      </c>
      <c r="H52" s="182">
        <f>1/(1+$N$29)^4</f>
        <v>0.57175324559303342</v>
      </c>
      <c r="I52" s="100">
        <f>1/(1+$N$29)^5</f>
        <v>0.49717673529828987</v>
      </c>
    </row>
    <row r="54" spans="2:9" x14ac:dyDescent="0.25">
      <c r="C54" s="303"/>
      <c r="D54" s="287" t="s">
        <v>1</v>
      </c>
      <c r="E54" s="287" t="s">
        <v>2</v>
      </c>
      <c r="F54" s="287" t="s">
        <v>13</v>
      </c>
      <c r="G54" s="287" t="s">
        <v>14</v>
      </c>
      <c r="H54" s="287" t="s">
        <v>15</v>
      </c>
      <c r="I54" s="288" t="s">
        <v>16</v>
      </c>
    </row>
    <row r="55" spans="2:9" x14ac:dyDescent="0.25">
      <c r="C55" s="95" t="s">
        <v>89</v>
      </c>
      <c r="D55" s="63">
        <f t="shared" ref="D55:I55" si="5">+D39*D51</f>
        <v>-110000</v>
      </c>
      <c r="E55" s="63">
        <f t="shared" si="5"/>
        <v>37931.034482758616</v>
      </c>
      <c r="F55" s="63">
        <f t="shared" si="5"/>
        <v>37301.857443550762</v>
      </c>
      <c r="G55" s="63">
        <f t="shared" si="5"/>
        <v>37391.096200173968</v>
      </c>
      <c r="H55" s="63">
        <f t="shared" si="5"/>
        <v>42840.357663080751</v>
      </c>
      <c r="I55" s="99">
        <f t="shared" si="5"/>
        <v>27725.744373954607</v>
      </c>
    </row>
    <row r="56" spans="2:9" x14ac:dyDescent="0.25">
      <c r="C56" s="95" t="s">
        <v>206</v>
      </c>
      <c r="D56" s="63">
        <f>+D55</f>
        <v>-110000</v>
      </c>
      <c r="E56" s="63">
        <f>+D56+E55</f>
        <v>-72068.965517241391</v>
      </c>
      <c r="F56" s="63">
        <f>+E56+F55</f>
        <v>-34767.10807369063</v>
      </c>
      <c r="G56" s="85">
        <f>+F56+G55</f>
        <v>2623.9881264833384</v>
      </c>
      <c r="H56" s="63">
        <f t="shared" ref="H56:I56" si="6">+G56+H55</f>
        <v>45464.34578956409</v>
      </c>
      <c r="I56" s="99">
        <f t="shared" si="6"/>
        <v>73190.090163518704</v>
      </c>
    </row>
    <row r="57" spans="2:9" x14ac:dyDescent="0.25">
      <c r="C57" s="95"/>
      <c r="D57" s="63"/>
      <c r="E57" s="63"/>
      <c r="F57" s="63"/>
      <c r="G57" s="63"/>
      <c r="H57" s="63"/>
      <c r="I57" s="99"/>
    </row>
    <row r="58" spans="2:9" x14ac:dyDescent="0.25">
      <c r="C58" s="95" t="s">
        <v>147</v>
      </c>
      <c r="D58" s="63">
        <f t="shared" ref="D58:I58" si="7">+D44*D52</f>
        <v>-44000</v>
      </c>
      <c r="E58" s="63">
        <f t="shared" si="7"/>
        <v>19964.284309041344</v>
      </c>
      <c r="F58" s="63">
        <f t="shared" si="7"/>
        <v>19683.79557726828</v>
      </c>
      <c r="G58" s="63">
        <f t="shared" si="7"/>
        <v>19924.386695836962</v>
      </c>
      <c r="H58" s="63">
        <f t="shared" si="7"/>
        <v>24543.509651628825</v>
      </c>
      <c r="I58" s="99">
        <f t="shared" si="7"/>
        <v>22402.783692540943</v>
      </c>
    </row>
    <row r="59" spans="2:9" x14ac:dyDescent="0.25">
      <c r="C59" s="96" t="s">
        <v>206</v>
      </c>
      <c r="D59" s="182"/>
      <c r="E59" s="182">
        <f>+D58+E58</f>
        <v>-24035.715690958656</v>
      </c>
      <c r="F59" s="182">
        <f>+E59+F58</f>
        <v>-4351.9201136903757</v>
      </c>
      <c r="G59" s="209">
        <f>+F59+G58</f>
        <v>15572.466582146586</v>
      </c>
      <c r="H59" s="182">
        <f>+G59+H58</f>
        <v>40115.976233775407</v>
      </c>
      <c r="I59" s="100">
        <f>+H59+I58</f>
        <v>62518.75992631635</v>
      </c>
    </row>
  </sheetData>
  <sheetProtection algorithmName="SHA-512" hashValue="Cp3wyEnC6ayObU+JHEZ/ZzXPsIXzmAm+jI9VZgRPT4Ey9Sy9AkzTlx+2fZm6uqae/XhraBBgKxEpbwc3zvRIDQ==" saltValue="rSQH23Zv+I6qdRWSrB9m8Q==" spinCount="100000" sheet="1" objects="1" scenarios="1"/>
  <mergeCells count="4">
    <mergeCell ref="E7:H7"/>
    <mergeCell ref="E15:I15"/>
    <mergeCell ref="C1:P1"/>
    <mergeCell ref="C3:I4"/>
  </mergeCells>
  <pageMargins left="0.7" right="0.7" top="0.75" bottom="0.75" header="0.3" footer="0.3"/>
  <pageSetup orientation="portrait" horizontalDpi="360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B1:P96"/>
  <sheetViews>
    <sheetView zoomScale="92" zoomScaleNormal="92" workbookViewId="0">
      <selection activeCell="K87" sqref="K87"/>
    </sheetView>
  </sheetViews>
  <sheetFormatPr baseColWidth="10" defaultRowHeight="13.2" x14ac:dyDescent="0.25"/>
  <cols>
    <col min="1" max="1" width="11.5546875" style="2"/>
    <col min="2" max="2" width="12" style="2" customWidth="1"/>
    <col min="3" max="3" width="33.109375" style="2" customWidth="1"/>
    <col min="4" max="9" width="10.6640625" style="2" customWidth="1"/>
    <col min="10" max="13" width="11.44140625" style="2"/>
    <col min="14" max="14" width="24" style="2" customWidth="1"/>
    <col min="15" max="15" width="16.44140625" style="2" customWidth="1"/>
    <col min="16" max="16" width="12.44140625" style="2" customWidth="1"/>
    <col min="17" max="258" width="11.44140625" style="2"/>
    <col min="259" max="259" width="28" style="2" customWidth="1"/>
    <col min="260" max="514" width="11.44140625" style="2"/>
    <col min="515" max="515" width="28" style="2" customWidth="1"/>
    <col min="516" max="770" width="11.44140625" style="2"/>
    <col min="771" max="771" width="28" style="2" customWidth="1"/>
    <col min="772" max="1026" width="11.44140625" style="2"/>
    <col min="1027" max="1027" width="28" style="2" customWidth="1"/>
    <col min="1028" max="1282" width="11.44140625" style="2"/>
    <col min="1283" max="1283" width="28" style="2" customWidth="1"/>
    <col min="1284" max="1538" width="11.44140625" style="2"/>
    <col min="1539" max="1539" width="28" style="2" customWidth="1"/>
    <col min="1540" max="1794" width="11.44140625" style="2"/>
    <col min="1795" max="1795" width="28" style="2" customWidth="1"/>
    <col min="1796" max="2050" width="11.44140625" style="2"/>
    <col min="2051" max="2051" width="28" style="2" customWidth="1"/>
    <col min="2052" max="2306" width="11.44140625" style="2"/>
    <col min="2307" max="2307" width="28" style="2" customWidth="1"/>
    <col min="2308" max="2562" width="11.44140625" style="2"/>
    <col min="2563" max="2563" width="28" style="2" customWidth="1"/>
    <col min="2564" max="2818" width="11.44140625" style="2"/>
    <col min="2819" max="2819" width="28" style="2" customWidth="1"/>
    <col min="2820" max="3074" width="11.44140625" style="2"/>
    <col min="3075" max="3075" width="28" style="2" customWidth="1"/>
    <col min="3076" max="3330" width="11.44140625" style="2"/>
    <col min="3331" max="3331" width="28" style="2" customWidth="1"/>
    <col min="3332" max="3586" width="11.44140625" style="2"/>
    <col min="3587" max="3587" width="28" style="2" customWidth="1"/>
    <col min="3588" max="3842" width="11.44140625" style="2"/>
    <col min="3843" max="3843" width="28" style="2" customWidth="1"/>
    <col min="3844" max="4098" width="11.44140625" style="2"/>
    <col min="4099" max="4099" width="28" style="2" customWidth="1"/>
    <col min="4100" max="4354" width="11.44140625" style="2"/>
    <col min="4355" max="4355" width="28" style="2" customWidth="1"/>
    <col min="4356" max="4610" width="11.44140625" style="2"/>
    <col min="4611" max="4611" width="28" style="2" customWidth="1"/>
    <col min="4612" max="4866" width="11.44140625" style="2"/>
    <col min="4867" max="4867" width="28" style="2" customWidth="1"/>
    <col min="4868" max="5122" width="11.44140625" style="2"/>
    <col min="5123" max="5123" width="28" style="2" customWidth="1"/>
    <col min="5124" max="5378" width="11.44140625" style="2"/>
    <col min="5379" max="5379" width="28" style="2" customWidth="1"/>
    <col min="5380" max="5634" width="11.44140625" style="2"/>
    <col min="5635" max="5635" width="28" style="2" customWidth="1"/>
    <col min="5636" max="5890" width="11.44140625" style="2"/>
    <col min="5891" max="5891" width="28" style="2" customWidth="1"/>
    <col min="5892" max="6146" width="11.44140625" style="2"/>
    <col min="6147" max="6147" width="28" style="2" customWidth="1"/>
    <col min="6148" max="6402" width="11.44140625" style="2"/>
    <col min="6403" max="6403" width="28" style="2" customWidth="1"/>
    <col min="6404" max="6658" width="11.44140625" style="2"/>
    <col min="6659" max="6659" width="28" style="2" customWidth="1"/>
    <col min="6660" max="6914" width="11.44140625" style="2"/>
    <col min="6915" max="6915" width="28" style="2" customWidth="1"/>
    <col min="6916" max="7170" width="11.44140625" style="2"/>
    <col min="7171" max="7171" width="28" style="2" customWidth="1"/>
    <col min="7172" max="7426" width="11.44140625" style="2"/>
    <col min="7427" max="7427" width="28" style="2" customWidth="1"/>
    <col min="7428" max="7682" width="11.44140625" style="2"/>
    <col min="7683" max="7683" width="28" style="2" customWidth="1"/>
    <col min="7684" max="7938" width="11.44140625" style="2"/>
    <col min="7939" max="7939" width="28" style="2" customWidth="1"/>
    <col min="7940" max="8194" width="11.44140625" style="2"/>
    <col min="8195" max="8195" width="28" style="2" customWidth="1"/>
    <col min="8196" max="8450" width="11.44140625" style="2"/>
    <col min="8451" max="8451" width="28" style="2" customWidth="1"/>
    <col min="8452" max="8706" width="11.44140625" style="2"/>
    <col min="8707" max="8707" width="28" style="2" customWidth="1"/>
    <col min="8708" max="8962" width="11.44140625" style="2"/>
    <col min="8963" max="8963" width="28" style="2" customWidth="1"/>
    <col min="8964" max="9218" width="11.44140625" style="2"/>
    <col min="9219" max="9219" width="28" style="2" customWidth="1"/>
    <col min="9220" max="9474" width="11.44140625" style="2"/>
    <col min="9475" max="9475" width="28" style="2" customWidth="1"/>
    <col min="9476" max="9730" width="11.44140625" style="2"/>
    <col min="9731" max="9731" width="28" style="2" customWidth="1"/>
    <col min="9732" max="9986" width="11.44140625" style="2"/>
    <col min="9987" max="9987" width="28" style="2" customWidth="1"/>
    <col min="9988" max="10242" width="11.44140625" style="2"/>
    <col min="10243" max="10243" width="28" style="2" customWidth="1"/>
    <col min="10244" max="10498" width="11.44140625" style="2"/>
    <col min="10499" max="10499" width="28" style="2" customWidth="1"/>
    <col min="10500" max="10754" width="11.44140625" style="2"/>
    <col min="10755" max="10755" width="28" style="2" customWidth="1"/>
    <col min="10756" max="11010" width="11.44140625" style="2"/>
    <col min="11011" max="11011" width="28" style="2" customWidth="1"/>
    <col min="11012" max="11266" width="11.44140625" style="2"/>
    <col min="11267" max="11267" width="28" style="2" customWidth="1"/>
    <col min="11268" max="11522" width="11.44140625" style="2"/>
    <col min="11523" max="11523" width="28" style="2" customWidth="1"/>
    <col min="11524" max="11778" width="11.44140625" style="2"/>
    <col min="11779" max="11779" width="28" style="2" customWidth="1"/>
    <col min="11780" max="12034" width="11.44140625" style="2"/>
    <col min="12035" max="12035" width="28" style="2" customWidth="1"/>
    <col min="12036" max="12290" width="11.44140625" style="2"/>
    <col min="12291" max="12291" width="28" style="2" customWidth="1"/>
    <col min="12292" max="12546" width="11.44140625" style="2"/>
    <col min="12547" max="12547" width="28" style="2" customWidth="1"/>
    <col min="12548" max="12802" width="11.44140625" style="2"/>
    <col min="12803" max="12803" width="28" style="2" customWidth="1"/>
    <col min="12804" max="13058" width="11.44140625" style="2"/>
    <col min="13059" max="13059" width="28" style="2" customWidth="1"/>
    <col min="13060" max="13314" width="11.44140625" style="2"/>
    <col min="13315" max="13315" width="28" style="2" customWidth="1"/>
    <col min="13316" max="13570" width="11.44140625" style="2"/>
    <col min="13571" max="13571" width="28" style="2" customWidth="1"/>
    <col min="13572" max="13826" width="11.44140625" style="2"/>
    <col min="13827" max="13827" width="28" style="2" customWidth="1"/>
    <col min="13828" max="14082" width="11.44140625" style="2"/>
    <col min="14083" max="14083" width="28" style="2" customWidth="1"/>
    <col min="14084" max="14338" width="11.44140625" style="2"/>
    <col min="14339" max="14339" width="28" style="2" customWidth="1"/>
    <col min="14340" max="14594" width="11.44140625" style="2"/>
    <col min="14595" max="14595" width="28" style="2" customWidth="1"/>
    <col min="14596" max="14850" width="11.44140625" style="2"/>
    <col min="14851" max="14851" width="28" style="2" customWidth="1"/>
    <col min="14852" max="15106" width="11.44140625" style="2"/>
    <col min="15107" max="15107" width="28" style="2" customWidth="1"/>
    <col min="15108" max="15362" width="11.44140625" style="2"/>
    <col min="15363" max="15363" width="28" style="2" customWidth="1"/>
    <col min="15364" max="15618" width="11.44140625" style="2"/>
    <col min="15619" max="15619" width="28" style="2" customWidth="1"/>
    <col min="15620" max="15874" width="11.44140625" style="2"/>
    <col min="15875" max="15875" width="28" style="2" customWidth="1"/>
    <col min="15876" max="16130" width="11.44140625" style="2"/>
    <col min="16131" max="16131" width="28" style="2" customWidth="1"/>
    <col min="16132" max="16384" width="11.44140625" style="2"/>
  </cols>
  <sheetData>
    <row r="1" spans="2:16" s="56" customFormat="1" ht="19.95" customHeight="1" x14ac:dyDescent="0.25">
      <c r="C1" s="353" t="s">
        <v>337</v>
      </c>
      <c r="D1" s="353"/>
      <c r="E1" s="353"/>
      <c r="F1" s="353"/>
      <c r="G1" s="353"/>
      <c r="H1" s="353"/>
      <c r="I1" s="353"/>
      <c r="J1" s="125"/>
      <c r="K1" s="125"/>
      <c r="L1" s="125"/>
      <c r="M1" s="125"/>
      <c r="N1" s="125"/>
      <c r="O1" s="125"/>
      <c r="P1" s="125"/>
    </row>
    <row r="2" spans="2:16" ht="13.8" x14ac:dyDescent="0.25">
      <c r="B2" s="56"/>
      <c r="C2" s="56"/>
      <c r="D2" s="56"/>
      <c r="E2" s="56"/>
      <c r="F2" s="56"/>
      <c r="G2" s="56"/>
      <c r="H2" s="56"/>
      <c r="I2" s="56"/>
      <c r="J2" s="56"/>
    </row>
    <row r="3" spans="2:16" ht="13.8" x14ac:dyDescent="0.25">
      <c r="B3" s="56"/>
      <c r="C3" s="236" t="s">
        <v>250</v>
      </c>
      <c r="D3" s="239">
        <f>170-150</f>
        <v>20</v>
      </c>
      <c r="E3" s="169"/>
      <c r="F3" s="223"/>
      <c r="G3" s="56"/>
      <c r="H3" s="56"/>
      <c r="I3" s="56"/>
      <c r="J3" s="56"/>
    </row>
    <row r="4" spans="2:16" ht="13.8" x14ac:dyDescent="0.25">
      <c r="B4" s="56"/>
      <c r="C4" s="237" t="s">
        <v>251</v>
      </c>
      <c r="D4" s="240">
        <f>105-75</f>
        <v>30</v>
      </c>
      <c r="E4" s="169"/>
      <c r="F4" s="223"/>
      <c r="G4" s="56"/>
      <c r="H4" s="56"/>
      <c r="I4" s="56"/>
      <c r="J4" s="56"/>
    </row>
    <row r="5" spans="2:16" ht="13.8" x14ac:dyDescent="0.25">
      <c r="B5" s="56"/>
      <c r="C5" s="237" t="s">
        <v>210</v>
      </c>
      <c r="D5" s="240">
        <v>10</v>
      </c>
      <c r="E5" s="223"/>
      <c r="F5" s="223"/>
      <c r="G5" s="56"/>
      <c r="H5" s="56"/>
      <c r="I5" s="56"/>
      <c r="J5" s="56"/>
    </row>
    <row r="6" spans="2:16" ht="13.8" x14ac:dyDescent="0.25">
      <c r="B6" s="56"/>
      <c r="C6" s="238" t="s">
        <v>38</v>
      </c>
      <c r="D6" s="241">
        <v>0.35</v>
      </c>
      <c r="E6" s="56"/>
      <c r="F6" s="56"/>
      <c r="G6" s="56"/>
      <c r="H6" s="56"/>
      <c r="I6" s="56"/>
      <c r="J6" s="56"/>
    </row>
    <row r="7" spans="2:16" ht="13.8" x14ac:dyDescent="0.25">
      <c r="B7" s="56"/>
      <c r="C7" s="56"/>
      <c r="D7" s="56"/>
      <c r="E7" s="56"/>
      <c r="F7" s="56"/>
      <c r="G7" s="56"/>
      <c r="H7" s="56"/>
      <c r="I7" s="56"/>
      <c r="J7" s="56"/>
    </row>
    <row r="8" spans="2:16" ht="13.8" x14ac:dyDescent="0.25">
      <c r="B8" s="56"/>
      <c r="C8" s="56"/>
      <c r="D8" s="56"/>
      <c r="E8" s="56"/>
      <c r="F8" s="56"/>
      <c r="G8" s="56"/>
      <c r="H8" s="56"/>
      <c r="I8" s="56"/>
      <c r="J8" s="56"/>
    </row>
    <row r="9" spans="2:16" ht="13.8" x14ac:dyDescent="0.25">
      <c r="B9" s="56"/>
      <c r="C9" s="373" t="s">
        <v>171</v>
      </c>
      <c r="D9" s="373"/>
      <c r="E9" s="373"/>
      <c r="F9" s="373"/>
      <c r="G9" s="373"/>
      <c r="H9" s="373"/>
      <c r="I9" s="373"/>
      <c r="J9" s="56"/>
    </row>
    <row r="10" spans="2:16" ht="13.8" x14ac:dyDescent="0.25">
      <c r="B10" s="56"/>
      <c r="C10" s="235"/>
      <c r="D10" s="235"/>
      <c r="E10" s="235"/>
      <c r="F10" s="235"/>
      <c r="G10" s="235"/>
      <c r="H10" s="235"/>
      <c r="I10" s="235"/>
      <c r="J10" s="56"/>
    </row>
    <row r="11" spans="2:16" ht="16.2" customHeight="1" x14ac:dyDescent="0.25">
      <c r="B11" s="56"/>
      <c r="C11" s="370" t="s">
        <v>172</v>
      </c>
      <c r="D11" s="371"/>
      <c r="E11" s="371"/>
      <c r="F11" s="371"/>
      <c r="G11" s="371"/>
      <c r="H11" s="371"/>
      <c r="I11" s="372"/>
      <c r="J11" s="56"/>
    </row>
    <row r="12" spans="2:16" ht="13.8" x14ac:dyDescent="0.25">
      <c r="B12" s="56"/>
      <c r="C12" s="291" t="s">
        <v>37</v>
      </c>
      <c r="D12" s="292" t="s">
        <v>1</v>
      </c>
      <c r="E12" s="292" t="s">
        <v>2</v>
      </c>
      <c r="F12" s="292" t="s">
        <v>13</v>
      </c>
      <c r="G12" s="292" t="s">
        <v>14</v>
      </c>
      <c r="H12" s="292" t="s">
        <v>15</v>
      </c>
      <c r="I12" s="293" t="s">
        <v>16</v>
      </c>
      <c r="J12" s="56"/>
    </row>
    <row r="13" spans="2:16" ht="13.8" x14ac:dyDescent="0.25">
      <c r="B13" s="56"/>
      <c r="C13" s="95" t="s">
        <v>28</v>
      </c>
      <c r="D13" s="63"/>
      <c r="E13" s="63">
        <v>150</v>
      </c>
      <c r="F13" s="63">
        <v>150</v>
      </c>
      <c r="G13" s="63">
        <v>150</v>
      </c>
      <c r="H13" s="63">
        <v>150</v>
      </c>
      <c r="I13" s="99">
        <v>150</v>
      </c>
      <c r="J13" s="56"/>
    </row>
    <row r="14" spans="2:16" ht="13.8" x14ac:dyDescent="0.25">
      <c r="B14" s="56"/>
      <c r="C14" s="95" t="s">
        <v>49</v>
      </c>
      <c r="D14" s="63"/>
      <c r="E14" s="63">
        <v>-105</v>
      </c>
      <c r="F14" s="63">
        <v>-105</v>
      </c>
      <c r="G14" s="63">
        <v>-105</v>
      </c>
      <c r="H14" s="63">
        <v>-105</v>
      </c>
      <c r="I14" s="99">
        <v>-105</v>
      </c>
      <c r="J14" s="56"/>
    </row>
    <row r="15" spans="2:16" ht="13.8" x14ac:dyDescent="0.25">
      <c r="B15" s="56"/>
      <c r="C15" s="95" t="s">
        <v>259</v>
      </c>
      <c r="D15" s="63"/>
      <c r="E15" s="63">
        <v>-15</v>
      </c>
      <c r="F15" s="63">
        <v>-15</v>
      </c>
      <c r="G15" s="63">
        <v>-15</v>
      </c>
      <c r="H15" s="63">
        <v>-15</v>
      </c>
      <c r="I15" s="99">
        <v>-15</v>
      </c>
      <c r="J15" s="56"/>
    </row>
    <row r="16" spans="2:16" ht="13.8" x14ac:dyDescent="0.25">
      <c r="B16" s="56"/>
      <c r="C16" s="95" t="s">
        <v>84</v>
      </c>
      <c r="D16" s="63"/>
      <c r="E16" s="63">
        <f>-SUM(E13:E15)*$D$6</f>
        <v>-10.5</v>
      </c>
      <c r="F16" s="63">
        <f t="shared" ref="F16:I16" si="0">-SUM(F13:F15)*$D$6</f>
        <v>-10.5</v>
      </c>
      <c r="G16" s="63">
        <f t="shared" si="0"/>
        <v>-10.5</v>
      </c>
      <c r="H16" s="63">
        <f t="shared" si="0"/>
        <v>-10.5</v>
      </c>
      <c r="I16" s="99">
        <f t="shared" si="0"/>
        <v>-10.5</v>
      </c>
      <c r="J16" s="56"/>
    </row>
    <row r="17" spans="2:10" ht="13.8" x14ac:dyDescent="0.25">
      <c r="B17" s="56"/>
      <c r="C17" s="110" t="s">
        <v>158</v>
      </c>
      <c r="D17" s="93"/>
      <c r="E17" s="93">
        <f>SUM(E13:E16)</f>
        <v>19.5</v>
      </c>
      <c r="F17" s="93">
        <f>SUM(F13:F16)</f>
        <v>19.5</v>
      </c>
      <c r="G17" s="93">
        <f>SUM(G13:G16)</f>
        <v>19.5</v>
      </c>
      <c r="H17" s="93">
        <f>SUM(H13:H16)</f>
        <v>19.5</v>
      </c>
      <c r="I17" s="111">
        <f>SUM(I13:I16)</f>
        <v>19.5</v>
      </c>
      <c r="J17" s="56"/>
    </row>
    <row r="18" spans="2:10" ht="7.95" customHeight="1" x14ac:dyDescent="0.25">
      <c r="B18" s="56"/>
      <c r="C18" s="56"/>
      <c r="D18" s="56"/>
      <c r="E18" s="56"/>
      <c r="F18" s="56"/>
      <c r="G18" s="56"/>
      <c r="H18" s="56"/>
      <c r="I18" s="56"/>
      <c r="J18" s="56"/>
    </row>
    <row r="19" spans="2:10" ht="7.95" customHeight="1" x14ac:dyDescent="0.25">
      <c r="B19" s="56"/>
      <c r="C19" s="56"/>
      <c r="D19" s="56"/>
      <c r="E19" s="56"/>
      <c r="F19" s="56"/>
      <c r="G19" s="56"/>
      <c r="H19" s="56"/>
      <c r="I19" s="56"/>
      <c r="J19" s="56"/>
    </row>
    <row r="20" spans="2:10" ht="13.8" x14ac:dyDescent="0.25">
      <c r="B20" s="56"/>
      <c r="C20" s="243" t="s">
        <v>0</v>
      </c>
      <c r="D20" s="287" t="s">
        <v>1</v>
      </c>
      <c r="E20" s="287" t="s">
        <v>2</v>
      </c>
      <c r="F20" s="287" t="s">
        <v>13</v>
      </c>
      <c r="G20" s="287" t="s">
        <v>14</v>
      </c>
      <c r="H20" s="287" t="s">
        <v>15</v>
      </c>
      <c r="I20" s="288" t="s">
        <v>16</v>
      </c>
      <c r="J20" s="56"/>
    </row>
    <row r="21" spans="2:10" ht="13.8" x14ac:dyDescent="0.25">
      <c r="B21" s="56"/>
      <c r="C21" s="95" t="s">
        <v>40</v>
      </c>
      <c r="D21" s="63"/>
      <c r="E21" s="63">
        <f t="shared" ref="E21:I22" si="1">+E13</f>
        <v>150</v>
      </c>
      <c r="F21" s="63">
        <f t="shared" si="1"/>
        <v>150</v>
      </c>
      <c r="G21" s="63">
        <f t="shared" si="1"/>
        <v>150</v>
      </c>
      <c r="H21" s="63">
        <f t="shared" si="1"/>
        <v>150</v>
      </c>
      <c r="I21" s="99">
        <f t="shared" si="1"/>
        <v>150</v>
      </c>
      <c r="J21" s="56"/>
    </row>
    <row r="22" spans="2:10" ht="13.8" x14ac:dyDescent="0.25">
      <c r="B22" s="56"/>
      <c r="C22" s="95" t="s">
        <v>49</v>
      </c>
      <c r="D22" s="63"/>
      <c r="E22" s="63">
        <f t="shared" si="1"/>
        <v>-105</v>
      </c>
      <c r="F22" s="63">
        <f t="shared" si="1"/>
        <v>-105</v>
      </c>
      <c r="G22" s="63">
        <f t="shared" si="1"/>
        <v>-105</v>
      </c>
      <c r="H22" s="63">
        <f t="shared" si="1"/>
        <v>-105</v>
      </c>
      <c r="I22" s="99">
        <f t="shared" si="1"/>
        <v>-105</v>
      </c>
      <c r="J22" s="56"/>
    </row>
    <row r="23" spans="2:10" ht="13.8" x14ac:dyDescent="0.25">
      <c r="B23" s="56"/>
      <c r="C23" s="95" t="s">
        <v>84</v>
      </c>
      <c r="D23" s="63"/>
      <c r="E23" s="63">
        <f>+E16</f>
        <v>-10.5</v>
      </c>
      <c r="F23" s="63">
        <f>+F16</f>
        <v>-10.5</v>
      </c>
      <c r="G23" s="63">
        <f>+G16</f>
        <v>-10.5</v>
      </c>
      <c r="H23" s="63">
        <f>+H16</f>
        <v>-10.5</v>
      </c>
      <c r="I23" s="99">
        <f>+I16</f>
        <v>-10.5</v>
      </c>
      <c r="J23" s="56"/>
    </row>
    <row r="24" spans="2:10" ht="13.8" x14ac:dyDescent="0.25">
      <c r="B24" s="56"/>
      <c r="C24" s="227" t="s">
        <v>7</v>
      </c>
      <c r="D24" s="176">
        <f t="shared" ref="D24" si="2">SUM(D21:D23)</f>
        <v>0</v>
      </c>
      <c r="E24" s="176">
        <f>SUM(E21:E23)</f>
        <v>34.5</v>
      </c>
      <c r="F24" s="176">
        <f t="shared" ref="F24:I24" si="3">SUM(F21:F23)</f>
        <v>34.5</v>
      </c>
      <c r="G24" s="176">
        <f t="shared" si="3"/>
        <v>34.5</v>
      </c>
      <c r="H24" s="176">
        <f t="shared" si="3"/>
        <v>34.5</v>
      </c>
      <c r="I24" s="177">
        <f t="shared" si="3"/>
        <v>34.5</v>
      </c>
      <c r="J24" s="56"/>
    </row>
    <row r="25" spans="2:10" ht="12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12" customHeight="1" x14ac:dyDescent="0.25">
      <c r="B26" s="56"/>
      <c r="C26" s="224"/>
      <c r="D26" s="56"/>
      <c r="E26" s="56"/>
      <c r="F26" s="56"/>
      <c r="G26" s="56"/>
      <c r="H26" s="56"/>
      <c r="I26" s="56"/>
      <c r="J26" s="56"/>
    </row>
    <row r="27" spans="2:10" ht="16.2" customHeight="1" x14ac:dyDescent="0.25">
      <c r="B27" s="56"/>
      <c r="C27" s="370" t="s">
        <v>173</v>
      </c>
      <c r="D27" s="371"/>
      <c r="E27" s="371"/>
      <c r="F27" s="371"/>
      <c r="G27" s="371"/>
      <c r="H27" s="371"/>
      <c r="I27" s="372"/>
      <c r="J27" s="56"/>
    </row>
    <row r="28" spans="2:10" ht="13.8" x14ac:dyDescent="0.25">
      <c r="B28" s="56"/>
      <c r="C28" s="291" t="s">
        <v>37</v>
      </c>
      <c r="D28" s="292" t="s">
        <v>1</v>
      </c>
      <c r="E28" s="292" t="s">
        <v>2</v>
      </c>
      <c r="F28" s="292" t="s">
        <v>13</v>
      </c>
      <c r="G28" s="292" t="s">
        <v>14</v>
      </c>
      <c r="H28" s="292" t="s">
        <v>15</v>
      </c>
      <c r="I28" s="293" t="s">
        <v>16</v>
      </c>
      <c r="J28" s="56"/>
    </row>
    <row r="29" spans="2:10" ht="13.8" x14ac:dyDescent="0.25">
      <c r="B29" s="56"/>
      <c r="C29" s="95" t="s">
        <v>28</v>
      </c>
      <c r="D29" s="63"/>
      <c r="E29" s="63">
        <v>170</v>
      </c>
      <c r="F29" s="63">
        <v>170</v>
      </c>
      <c r="G29" s="63">
        <v>170</v>
      </c>
      <c r="H29" s="63">
        <v>170</v>
      </c>
      <c r="I29" s="99">
        <v>170</v>
      </c>
      <c r="J29" s="56"/>
    </row>
    <row r="30" spans="2:10" ht="13.8" x14ac:dyDescent="0.25">
      <c r="B30" s="56"/>
      <c r="C30" s="95" t="s">
        <v>260</v>
      </c>
      <c r="D30" s="63"/>
      <c r="E30" s="63"/>
      <c r="F30" s="63"/>
      <c r="G30" s="63"/>
      <c r="H30" s="63"/>
      <c r="I30" s="99">
        <v>30</v>
      </c>
      <c r="J30" s="56"/>
    </row>
    <row r="31" spans="2:10" ht="13.8" x14ac:dyDescent="0.25">
      <c r="B31" s="56"/>
      <c r="C31" s="95" t="s">
        <v>261</v>
      </c>
      <c r="D31" s="63">
        <v>-60</v>
      </c>
      <c r="E31" s="63"/>
      <c r="F31" s="63"/>
      <c r="G31" s="63"/>
      <c r="H31" s="63"/>
      <c r="I31" s="99"/>
      <c r="J31" s="56"/>
    </row>
    <row r="32" spans="2:10" ht="13.8" x14ac:dyDescent="0.25">
      <c r="B32" s="56"/>
      <c r="C32" s="95" t="s">
        <v>49</v>
      </c>
      <c r="D32" s="63"/>
      <c r="E32" s="63">
        <v>-75</v>
      </c>
      <c r="F32" s="63">
        <v>-75</v>
      </c>
      <c r="G32" s="63">
        <v>-75</v>
      </c>
      <c r="H32" s="63">
        <v>-75</v>
      </c>
      <c r="I32" s="99">
        <v>-75</v>
      </c>
      <c r="J32" s="56"/>
    </row>
    <row r="33" spans="2:10" ht="13.8" x14ac:dyDescent="0.25">
      <c r="B33" s="56"/>
      <c r="C33" s="95" t="s">
        <v>262</v>
      </c>
      <c r="D33" s="63"/>
      <c r="E33" s="63">
        <v>18</v>
      </c>
      <c r="F33" s="63"/>
      <c r="G33" s="63"/>
      <c r="H33" s="63"/>
      <c r="I33" s="99"/>
      <c r="J33" s="56"/>
    </row>
    <row r="34" spans="2:10" ht="13.8" x14ac:dyDescent="0.25">
      <c r="B34" s="56"/>
      <c r="C34" s="95" t="s">
        <v>263</v>
      </c>
      <c r="D34" s="63"/>
      <c r="E34" s="63">
        <v>-36</v>
      </c>
      <c r="F34" s="63">
        <v>-36</v>
      </c>
      <c r="G34" s="63">
        <v>-36</v>
      </c>
      <c r="H34" s="63">
        <v>-36</v>
      </c>
      <c r="I34" s="99">
        <v>-36</v>
      </c>
      <c r="J34" s="56"/>
    </row>
    <row r="35" spans="2:10" ht="13.8" x14ac:dyDescent="0.25">
      <c r="B35" s="56"/>
      <c r="C35" s="95" t="s">
        <v>84</v>
      </c>
      <c r="D35" s="63">
        <f>-D31*$D$6</f>
        <v>21</v>
      </c>
      <c r="E35" s="63">
        <f>-SUM(E29:E34)*$D$6</f>
        <v>-26.95</v>
      </c>
      <c r="F35" s="63">
        <f t="shared" ref="F35:I35" si="4">-SUM(F29:F34)*$D$6</f>
        <v>-20.65</v>
      </c>
      <c r="G35" s="63">
        <f t="shared" si="4"/>
        <v>-20.65</v>
      </c>
      <c r="H35" s="63">
        <f t="shared" si="4"/>
        <v>-20.65</v>
      </c>
      <c r="I35" s="99">
        <f t="shared" si="4"/>
        <v>-31.15</v>
      </c>
      <c r="J35" s="56"/>
    </row>
    <row r="36" spans="2:10" ht="13.8" x14ac:dyDescent="0.25">
      <c r="B36" s="56"/>
      <c r="C36" s="110" t="s">
        <v>158</v>
      </c>
      <c r="D36" s="93">
        <f t="shared" ref="D36:I36" si="5">SUM(D29:D35)</f>
        <v>-39</v>
      </c>
      <c r="E36" s="93">
        <f>SUM(E29:E35)</f>
        <v>50.05</v>
      </c>
      <c r="F36" s="93">
        <f t="shared" si="5"/>
        <v>38.35</v>
      </c>
      <c r="G36" s="93">
        <f t="shared" si="5"/>
        <v>38.35</v>
      </c>
      <c r="H36" s="93">
        <f t="shared" si="5"/>
        <v>38.35</v>
      </c>
      <c r="I36" s="111">
        <f t="shared" si="5"/>
        <v>57.85</v>
      </c>
      <c r="J36" s="56"/>
    </row>
    <row r="37" spans="2:10" ht="7.95" customHeight="1" x14ac:dyDescent="0.25">
      <c r="B37" s="56"/>
      <c r="C37" s="56"/>
      <c r="D37" s="56"/>
      <c r="E37" s="56"/>
      <c r="F37" s="56"/>
      <c r="G37" s="56"/>
      <c r="H37" s="56"/>
      <c r="I37" s="56"/>
      <c r="J37" s="56"/>
    </row>
    <row r="38" spans="2:10" ht="7.95" customHeight="1" x14ac:dyDescent="0.25">
      <c r="B38" s="56"/>
      <c r="C38" s="224"/>
      <c r="D38" s="56"/>
      <c r="E38" s="56"/>
      <c r="F38" s="56"/>
      <c r="G38" s="56"/>
      <c r="H38" s="56"/>
      <c r="I38" s="56"/>
      <c r="J38" s="56"/>
    </row>
    <row r="39" spans="2:10" ht="13.8" x14ac:dyDescent="0.25">
      <c r="B39" s="56"/>
      <c r="C39" s="243" t="s">
        <v>0</v>
      </c>
      <c r="D39" s="287" t="s">
        <v>1</v>
      </c>
      <c r="E39" s="287" t="s">
        <v>2</v>
      </c>
      <c r="F39" s="287" t="s">
        <v>13</v>
      </c>
      <c r="G39" s="287" t="s">
        <v>14</v>
      </c>
      <c r="H39" s="287" t="s">
        <v>15</v>
      </c>
      <c r="I39" s="288" t="s">
        <v>16</v>
      </c>
      <c r="J39" s="56"/>
    </row>
    <row r="40" spans="2:10" ht="13.8" x14ac:dyDescent="0.25">
      <c r="B40" s="56"/>
      <c r="C40" s="95" t="s">
        <v>40</v>
      </c>
      <c r="D40" s="63"/>
      <c r="E40" s="63">
        <f>+E29</f>
        <v>170</v>
      </c>
      <c r="F40" s="63">
        <f>+F29</f>
        <v>170</v>
      </c>
      <c r="G40" s="63">
        <f>+G29</f>
        <v>170</v>
      </c>
      <c r="H40" s="63">
        <f>+H29</f>
        <v>170</v>
      </c>
      <c r="I40" s="99">
        <f>+I29</f>
        <v>170</v>
      </c>
      <c r="J40" s="56"/>
    </row>
    <row r="41" spans="2:10" ht="13.8" x14ac:dyDescent="0.25">
      <c r="B41" s="56"/>
      <c r="C41" s="95" t="s">
        <v>262</v>
      </c>
      <c r="D41" s="63"/>
      <c r="E41" s="63">
        <v>18</v>
      </c>
      <c r="F41" s="63"/>
      <c r="G41" s="63"/>
      <c r="H41" s="63"/>
      <c r="I41" s="99"/>
      <c r="J41" s="56"/>
    </row>
    <row r="42" spans="2:10" ht="13.8" x14ac:dyDescent="0.25">
      <c r="B42" s="56"/>
      <c r="C42" s="95" t="s">
        <v>264</v>
      </c>
      <c r="D42" s="63"/>
      <c r="E42" s="63"/>
      <c r="F42" s="63"/>
      <c r="G42" s="63"/>
      <c r="H42" s="63"/>
      <c r="I42" s="99">
        <v>30</v>
      </c>
      <c r="J42" s="56"/>
    </row>
    <row r="43" spans="2:10" ht="13.8" x14ac:dyDescent="0.25">
      <c r="B43" s="56"/>
      <c r="C43" s="95" t="s">
        <v>255</v>
      </c>
      <c r="D43" s="63"/>
      <c r="E43" s="63"/>
      <c r="F43" s="63"/>
      <c r="G43" s="63"/>
      <c r="H43" s="63"/>
      <c r="I43" s="99">
        <f>-SUM(D48:I48)</f>
        <v>10</v>
      </c>
      <c r="J43" s="56"/>
    </row>
    <row r="44" spans="2:10" ht="13.8" x14ac:dyDescent="0.25">
      <c r="B44" s="56"/>
      <c r="C44" s="95" t="s">
        <v>49</v>
      </c>
      <c r="D44" s="63"/>
      <c r="E44" s="63">
        <f>+E32</f>
        <v>-75</v>
      </c>
      <c r="F44" s="63">
        <f>+F32</f>
        <v>-75</v>
      </c>
      <c r="G44" s="63">
        <f>+G32</f>
        <v>-75</v>
      </c>
      <c r="H44" s="63">
        <f>+H32</f>
        <v>-75</v>
      </c>
      <c r="I44" s="99">
        <f>+I32</f>
        <v>-75</v>
      </c>
      <c r="J44" s="56"/>
    </row>
    <row r="45" spans="2:10" ht="13.8" x14ac:dyDescent="0.25">
      <c r="B45" s="56"/>
      <c r="C45" s="95" t="s">
        <v>84</v>
      </c>
      <c r="D45" s="63">
        <f t="shared" ref="D45:I45" si="6">+D35</f>
        <v>21</v>
      </c>
      <c r="E45" s="63">
        <f t="shared" si="6"/>
        <v>-26.95</v>
      </c>
      <c r="F45" s="63">
        <f t="shared" si="6"/>
        <v>-20.65</v>
      </c>
      <c r="G45" s="63">
        <f t="shared" si="6"/>
        <v>-20.65</v>
      </c>
      <c r="H45" s="63">
        <f t="shared" si="6"/>
        <v>-20.65</v>
      </c>
      <c r="I45" s="99">
        <f t="shared" si="6"/>
        <v>-31.15</v>
      </c>
      <c r="J45" s="56"/>
    </row>
    <row r="46" spans="2:10" ht="13.8" x14ac:dyDescent="0.25">
      <c r="B46" s="56"/>
      <c r="C46" s="95" t="s">
        <v>256</v>
      </c>
      <c r="D46" s="63">
        <v>15</v>
      </c>
      <c r="E46" s="63"/>
      <c r="F46" s="63"/>
      <c r="G46" s="63"/>
      <c r="H46" s="63"/>
      <c r="I46" s="99"/>
      <c r="J46" s="56"/>
    </row>
    <row r="47" spans="2:10" ht="13.8" x14ac:dyDescent="0.25">
      <c r="B47" s="56"/>
      <c r="C47" s="95" t="s">
        <v>265</v>
      </c>
      <c r="D47" s="63">
        <v>-180</v>
      </c>
      <c r="E47" s="63"/>
      <c r="F47" s="63"/>
      <c r="G47" s="63"/>
      <c r="H47" s="63"/>
      <c r="I47" s="99"/>
      <c r="J47" s="56"/>
    </row>
    <row r="48" spans="2:10" ht="13.8" x14ac:dyDescent="0.25">
      <c r="B48" s="56"/>
      <c r="C48" s="95" t="s">
        <v>97</v>
      </c>
      <c r="D48" s="63">
        <f>-D5</f>
        <v>-10</v>
      </c>
      <c r="E48" s="63"/>
      <c r="F48" s="63"/>
      <c r="G48" s="63"/>
      <c r="H48" s="63"/>
      <c r="I48" s="99"/>
      <c r="J48" s="56"/>
    </row>
    <row r="49" spans="2:10" ht="13.8" x14ac:dyDescent="0.25">
      <c r="B49" s="56"/>
      <c r="C49" s="227" t="s">
        <v>162</v>
      </c>
      <c r="D49" s="176">
        <f>SUM(D40:D48)</f>
        <v>-154</v>
      </c>
      <c r="E49" s="176">
        <f t="shared" ref="E49:I49" si="7">SUM(E40:E48)</f>
        <v>86.05</v>
      </c>
      <c r="F49" s="176">
        <f t="shared" si="7"/>
        <v>74.349999999999994</v>
      </c>
      <c r="G49" s="176">
        <f t="shared" si="7"/>
        <v>74.349999999999994</v>
      </c>
      <c r="H49" s="176">
        <f t="shared" si="7"/>
        <v>74.349999999999994</v>
      </c>
      <c r="I49" s="177">
        <f t="shared" si="7"/>
        <v>103.85</v>
      </c>
      <c r="J49" s="56"/>
    </row>
    <row r="50" spans="2:10" ht="7.95" customHeight="1" x14ac:dyDescent="0.25">
      <c r="B50" s="56"/>
      <c r="C50" s="56"/>
      <c r="D50" s="56"/>
      <c r="E50" s="56"/>
      <c r="F50" s="56"/>
      <c r="G50" s="56"/>
      <c r="H50" s="56"/>
      <c r="I50" s="56"/>
      <c r="J50" s="56"/>
    </row>
    <row r="51" spans="2:10" ht="7.95" customHeight="1" x14ac:dyDescent="0.25">
      <c r="B51" s="56"/>
      <c r="C51" s="56"/>
      <c r="D51" s="56"/>
      <c r="E51" s="56"/>
      <c r="F51" s="56"/>
      <c r="G51" s="56"/>
      <c r="H51" s="56"/>
      <c r="I51" s="56"/>
      <c r="J51" s="56"/>
    </row>
    <row r="52" spans="2:10" ht="7.95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</row>
    <row r="53" spans="2:10" ht="13.8" x14ac:dyDescent="0.25">
      <c r="B53" s="56"/>
      <c r="C53" s="243"/>
      <c r="D53" s="287" t="s">
        <v>1</v>
      </c>
      <c r="E53" s="287" t="s">
        <v>2</v>
      </c>
      <c r="F53" s="287" t="s">
        <v>13</v>
      </c>
      <c r="G53" s="287" t="s">
        <v>14</v>
      </c>
      <c r="H53" s="287" t="s">
        <v>15</v>
      </c>
      <c r="I53" s="288" t="s">
        <v>16</v>
      </c>
      <c r="J53" s="56"/>
    </row>
    <row r="54" spans="2:10" ht="13.8" x14ac:dyDescent="0.25">
      <c r="B54" s="56"/>
      <c r="C54" s="233" t="s">
        <v>162</v>
      </c>
      <c r="D54" s="225">
        <f>+D49</f>
        <v>-154</v>
      </c>
      <c r="E54" s="225">
        <f t="shared" ref="E54:I54" si="8">+E49</f>
        <v>86.05</v>
      </c>
      <c r="F54" s="225">
        <f t="shared" si="8"/>
        <v>74.349999999999994</v>
      </c>
      <c r="G54" s="225">
        <f t="shared" si="8"/>
        <v>74.349999999999994</v>
      </c>
      <c r="H54" s="225">
        <f t="shared" si="8"/>
        <v>74.349999999999994</v>
      </c>
      <c r="I54" s="234">
        <f t="shared" si="8"/>
        <v>103.85</v>
      </c>
      <c r="J54" s="56"/>
    </row>
    <row r="55" spans="2:10" ht="13.8" x14ac:dyDescent="0.25">
      <c r="B55" s="56"/>
      <c r="C55" s="233" t="s">
        <v>160</v>
      </c>
      <c r="D55" s="225">
        <f>+D24</f>
        <v>0</v>
      </c>
      <c r="E55" s="225">
        <f t="shared" ref="E55:I55" si="9">+E24</f>
        <v>34.5</v>
      </c>
      <c r="F55" s="225">
        <f t="shared" si="9"/>
        <v>34.5</v>
      </c>
      <c r="G55" s="225">
        <f t="shared" si="9"/>
        <v>34.5</v>
      </c>
      <c r="H55" s="225">
        <f t="shared" si="9"/>
        <v>34.5</v>
      </c>
      <c r="I55" s="234">
        <f t="shared" si="9"/>
        <v>34.5</v>
      </c>
      <c r="J55" s="56"/>
    </row>
    <row r="56" spans="2:10" ht="13.8" x14ac:dyDescent="0.25">
      <c r="B56" s="56"/>
      <c r="C56" s="227" t="s">
        <v>163</v>
      </c>
      <c r="D56" s="176">
        <f>+D54-D55</f>
        <v>-154</v>
      </c>
      <c r="E56" s="176">
        <f t="shared" ref="E56:I56" si="10">+E54-E55</f>
        <v>51.55</v>
      </c>
      <c r="F56" s="176">
        <f t="shared" si="10"/>
        <v>39.849999999999994</v>
      </c>
      <c r="G56" s="176">
        <f t="shared" si="10"/>
        <v>39.849999999999994</v>
      </c>
      <c r="H56" s="176">
        <f t="shared" si="10"/>
        <v>39.849999999999994</v>
      </c>
      <c r="I56" s="177">
        <f t="shared" si="10"/>
        <v>69.349999999999994</v>
      </c>
      <c r="J56" s="56"/>
    </row>
    <row r="57" spans="2:10" ht="9.6" customHeight="1" x14ac:dyDescent="0.25">
      <c r="B57" s="56"/>
      <c r="C57" s="56"/>
      <c r="D57" s="56"/>
      <c r="E57" s="56"/>
      <c r="F57" s="56"/>
      <c r="G57" s="56"/>
      <c r="H57" s="56"/>
      <c r="I57" s="56"/>
      <c r="J57" s="56"/>
    </row>
    <row r="58" spans="2:10" ht="9.6" customHeight="1" x14ac:dyDescent="0.25">
      <c r="B58" s="56"/>
      <c r="C58" s="56"/>
      <c r="D58" s="56"/>
      <c r="E58" s="56"/>
      <c r="F58" s="56"/>
      <c r="G58" s="56"/>
      <c r="H58" s="56"/>
      <c r="I58" s="56"/>
      <c r="J58" s="56"/>
    </row>
    <row r="59" spans="2:10" ht="13.8" x14ac:dyDescent="0.25">
      <c r="B59" s="56"/>
      <c r="C59" s="228" t="s">
        <v>25</v>
      </c>
      <c r="D59" s="229">
        <f>15%+4%</f>
        <v>0.19</v>
      </c>
      <c r="E59" s="56"/>
      <c r="F59" s="56"/>
      <c r="G59" s="56"/>
      <c r="H59" s="56"/>
      <c r="I59" s="56"/>
      <c r="J59" s="56"/>
    </row>
    <row r="60" spans="2:10" ht="13.8" x14ac:dyDescent="0.25">
      <c r="B60" s="56"/>
      <c r="C60" s="146" t="s">
        <v>136</v>
      </c>
      <c r="D60" s="230">
        <v>0.12</v>
      </c>
      <c r="E60" s="56"/>
      <c r="F60" s="56"/>
      <c r="G60" s="56"/>
      <c r="H60" s="56"/>
      <c r="I60" s="56"/>
      <c r="J60" s="56"/>
    </row>
    <row r="61" spans="2:10" ht="13.8" x14ac:dyDescent="0.25">
      <c r="B61" s="56"/>
      <c r="C61" s="146" t="s">
        <v>192</v>
      </c>
      <c r="D61" s="230">
        <v>0.6</v>
      </c>
      <c r="E61" s="56"/>
      <c r="F61" s="56"/>
      <c r="G61" s="56"/>
      <c r="H61" s="56"/>
      <c r="I61" s="56"/>
      <c r="J61" s="56"/>
    </row>
    <row r="62" spans="2:10" ht="13.8" x14ac:dyDescent="0.25">
      <c r="B62" s="56"/>
      <c r="C62" s="146" t="s">
        <v>193</v>
      </c>
      <c r="D62" s="230">
        <v>0.4</v>
      </c>
      <c r="E62" s="56"/>
      <c r="F62" s="56"/>
      <c r="G62" s="56"/>
      <c r="H62" s="56"/>
      <c r="I62" s="56"/>
      <c r="J62" s="56"/>
    </row>
    <row r="63" spans="2:10" ht="13.8" x14ac:dyDescent="0.25">
      <c r="B63" s="56"/>
      <c r="C63" s="146" t="s">
        <v>194</v>
      </c>
      <c r="D63" s="230">
        <f>+D6</f>
        <v>0.35</v>
      </c>
      <c r="E63" s="56"/>
      <c r="F63" s="56"/>
      <c r="G63" s="56"/>
      <c r="H63" s="56"/>
      <c r="I63" s="56"/>
      <c r="J63" s="56"/>
    </row>
    <row r="64" spans="2:10" ht="13.8" x14ac:dyDescent="0.25">
      <c r="B64" s="56"/>
      <c r="C64" s="138" t="s">
        <v>72</v>
      </c>
      <c r="D64" s="304">
        <f>+D59*D61+D60*D62*(1-D63)</f>
        <v>0.1452</v>
      </c>
      <c r="E64" s="56"/>
      <c r="F64" s="56"/>
      <c r="G64" s="56"/>
      <c r="H64" s="56"/>
      <c r="I64" s="56"/>
      <c r="J64" s="56"/>
    </row>
    <row r="65" spans="2:10" ht="13.8" x14ac:dyDescent="0.25">
      <c r="B65" s="56"/>
      <c r="C65" s="56"/>
      <c r="D65" s="56"/>
      <c r="E65" s="56"/>
      <c r="F65" s="56"/>
      <c r="G65" s="56"/>
      <c r="H65" s="56"/>
      <c r="I65" s="56"/>
      <c r="J65" s="56"/>
    </row>
    <row r="66" spans="2:10" ht="14.4" customHeight="1" x14ac:dyDescent="0.25">
      <c r="B66" s="56"/>
      <c r="C66" s="91" t="s">
        <v>211</v>
      </c>
      <c r="D66" s="226">
        <f>+D56+NPV(D64,E56:I56)</f>
        <v>6.3089351947515695</v>
      </c>
      <c r="E66" s="56"/>
      <c r="F66" s="56"/>
      <c r="G66" s="56"/>
      <c r="H66" s="56"/>
      <c r="I66" s="56"/>
      <c r="J66" s="56"/>
    </row>
    <row r="67" spans="2:10" ht="12" customHeight="1" x14ac:dyDescent="0.25">
      <c r="B67" s="56"/>
      <c r="C67" s="56"/>
      <c r="D67" s="56"/>
      <c r="E67" s="56"/>
      <c r="F67" s="56"/>
      <c r="G67" s="56"/>
      <c r="H67" s="56"/>
      <c r="I67" s="56"/>
      <c r="J67" s="56"/>
    </row>
    <row r="68" spans="2:10" ht="12" customHeight="1" x14ac:dyDescent="0.25">
      <c r="B68" s="56"/>
      <c r="C68" s="56"/>
      <c r="D68" s="56"/>
      <c r="E68" s="56"/>
      <c r="F68" s="56"/>
      <c r="G68" s="56"/>
      <c r="H68" s="56"/>
      <c r="I68" s="56"/>
      <c r="J68" s="56"/>
    </row>
    <row r="69" spans="2:10" ht="15.6" customHeight="1" x14ac:dyDescent="0.25">
      <c r="B69" s="56"/>
      <c r="C69" s="367" t="s">
        <v>235</v>
      </c>
      <c r="D69" s="368"/>
      <c r="E69" s="368"/>
      <c r="F69" s="368"/>
      <c r="G69" s="368"/>
      <c r="H69" s="368"/>
      <c r="I69" s="369"/>
      <c r="J69" s="56"/>
    </row>
    <row r="70" spans="2:10" ht="13.8" x14ac:dyDescent="0.25">
      <c r="B70" s="56"/>
      <c r="C70" s="291" t="s">
        <v>37</v>
      </c>
      <c r="D70" s="292" t="s">
        <v>1</v>
      </c>
      <c r="E70" s="292" t="s">
        <v>2</v>
      </c>
      <c r="F70" s="292" t="s">
        <v>13</v>
      </c>
      <c r="G70" s="292" t="s">
        <v>14</v>
      </c>
      <c r="H70" s="292" t="s">
        <v>15</v>
      </c>
      <c r="I70" s="293" t="s">
        <v>16</v>
      </c>
      <c r="J70" s="56"/>
    </row>
    <row r="71" spans="2:10" ht="13.8" x14ac:dyDescent="0.25">
      <c r="B71" s="56"/>
      <c r="C71" s="95" t="s">
        <v>28</v>
      </c>
      <c r="D71" s="63"/>
      <c r="E71" s="63">
        <f>+$D$3</f>
        <v>20</v>
      </c>
      <c r="F71" s="63">
        <f>+$D$3</f>
        <v>20</v>
      </c>
      <c r="G71" s="63">
        <f>+$D$3</f>
        <v>20</v>
      </c>
      <c r="H71" s="63">
        <f>+$D$3</f>
        <v>20</v>
      </c>
      <c r="I71" s="99">
        <f>+$D$3</f>
        <v>20</v>
      </c>
      <c r="J71" s="56"/>
    </row>
    <row r="72" spans="2:10" ht="13.8" x14ac:dyDescent="0.25">
      <c r="B72" s="56"/>
      <c r="C72" s="95" t="s">
        <v>285</v>
      </c>
      <c r="D72" s="63"/>
      <c r="E72" s="63"/>
      <c r="F72" s="63"/>
      <c r="G72" s="63"/>
      <c r="H72" s="63"/>
      <c r="I72" s="99">
        <v>30</v>
      </c>
      <c r="J72" s="56"/>
    </row>
    <row r="73" spans="2:10" ht="13.8" x14ac:dyDescent="0.25">
      <c r="B73" s="56"/>
      <c r="C73" s="95" t="s">
        <v>279</v>
      </c>
      <c r="D73" s="63">
        <v>-60</v>
      </c>
      <c r="E73" s="63"/>
      <c r="F73" s="63"/>
      <c r="G73" s="63"/>
      <c r="H73" s="63"/>
      <c r="I73" s="99"/>
      <c r="J73" s="56"/>
    </row>
    <row r="74" spans="2:10" ht="13.8" x14ac:dyDescent="0.25">
      <c r="B74" s="56"/>
      <c r="C74" s="95" t="s">
        <v>280</v>
      </c>
      <c r="D74" s="63"/>
      <c r="E74" s="63">
        <f>+$D$4</f>
        <v>30</v>
      </c>
      <c r="F74" s="63">
        <f>+$D$4</f>
        <v>30</v>
      </c>
      <c r="G74" s="63">
        <f>+$D$4</f>
        <v>30</v>
      </c>
      <c r="H74" s="63">
        <f>+$D$4</f>
        <v>30</v>
      </c>
      <c r="I74" s="99">
        <f>+$D$4</f>
        <v>30</v>
      </c>
      <c r="J74" s="56"/>
    </row>
    <row r="75" spans="2:10" ht="13.8" x14ac:dyDescent="0.25">
      <c r="B75" s="56"/>
      <c r="C75" s="95" t="s">
        <v>262</v>
      </c>
      <c r="D75" s="63"/>
      <c r="E75" s="63">
        <f>-D88*0.1</f>
        <v>18</v>
      </c>
      <c r="F75" s="63"/>
      <c r="G75" s="63"/>
      <c r="H75" s="63"/>
      <c r="I75" s="99"/>
      <c r="J75" s="56"/>
    </row>
    <row r="76" spans="2:10" ht="13.8" x14ac:dyDescent="0.25">
      <c r="B76" s="56"/>
      <c r="C76" s="95" t="s">
        <v>157</v>
      </c>
      <c r="D76" s="63"/>
      <c r="E76" s="63">
        <f>$D$88*20%</f>
        <v>-36</v>
      </c>
      <c r="F76" s="63">
        <f>$D$88*20%</f>
        <v>-36</v>
      </c>
      <c r="G76" s="63">
        <f>$D$88*20%</f>
        <v>-36</v>
      </c>
      <c r="H76" s="63">
        <f>$D$88*20%</f>
        <v>-36</v>
      </c>
      <c r="I76" s="99">
        <f>$D$88*20%</f>
        <v>-36</v>
      </c>
      <c r="J76" s="56"/>
    </row>
    <row r="77" spans="2:10" ht="13.8" x14ac:dyDescent="0.25">
      <c r="B77" s="56"/>
      <c r="C77" s="95" t="s">
        <v>252</v>
      </c>
      <c r="D77" s="63"/>
      <c r="E77" s="63">
        <f>150*10%</f>
        <v>15</v>
      </c>
      <c r="F77" s="63">
        <f t="shared" ref="F77:I77" si="11">150*10%</f>
        <v>15</v>
      </c>
      <c r="G77" s="63">
        <f t="shared" si="11"/>
        <v>15</v>
      </c>
      <c r="H77" s="63">
        <f t="shared" si="11"/>
        <v>15</v>
      </c>
      <c r="I77" s="99">
        <f t="shared" si="11"/>
        <v>15</v>
      </c>
      <c r="J77" s="56"/>
    </row>
    <row r="78" spans="2:10" ht="13.8" x14ac:dyDescent="0.25">
      <c r="B78" s="56"/>
      <c r="C78" s="95" t="s">
        <v>84</v>
      </c>
      <c r="D78" s="63">
        <f>-SUM(D71:D76)*$D$6</f>
        <v>21</v>
      </c>
      <c r="E78" s="63">
        <f>-SUM(E71:E77)*$D$6</f>
        <v>-16.45</v>
      </c>
      <c r="F78" s="63">
        <f>-SUM(F71:F77)*$D$6</f>
        <v>-10.149999999999999</v>
      </c>
      <c r="G78" s="63">
        <f>-SUM(G71:G77)*$D$6</f>
        <v>-10.149999999999999</v>
      </c>
      <c r="H78" s="63">
        <f>-SUM(H71:H77)*$D$6</f>
        <v>-10.149999999999999</v>
      </c>
      <c r="I78" s="99">
        <f>-SUM(I71:I77)*$D$6</f>
        <v>-20.65</v>
      </c>
      <c r="J78" s="56"/>
    </row>
    <row r="79" spans="2:10" ht="13.8" x14ac:dyDescent="0.25">
      <c r="B79" s="56"/>
      <c r="C79" s="110" t="s">
        <v>158</v>
      </c>
      <c r="D79" s="93">
        <f t="shared" ref="D79:I79" si="12">SUM(D71:D78)</f>
        <v>-39</v>
      </c>
      <c r="E79" s="93">
        <f t="shared" si="12"/>
        <v>30.55</v>
      </c>
      <c r="F79" s="93">
        <f t="shared" si="12"/>
        <v>18.850000000000001</v>
      </c>
      <c r="G79" s="93">
        <f t="shared" si="12"/>
        <v>18.850000000000001</v>
      </c>
      <c r="H79" s="93">
        <f t="shared" si="12"/>
        <v>18.850000000000001</v>
      </c>
      <c r="I79" s="111">
        <f t="shared" si="12"/>
        <v>38.35</v>
      </c>
      <c r="J79" s="56"/>
    </row>
    <row r="80" spans="2:10" ht="12" customHeight="1" x14ac:dyDescent="0.25">
      <c r="B80" s="56"/>
      <c r="C80" s="56"/>
      <c r="D80" s="56"/>
      <c r="E80" s="56"/>
      <c r="F80" s="56"/>
      <c r="G80" s="56"/>
      <c r="H80" s="56"/>
      <c r="I80" s="56"/>
      <c r="J80" s="56"/>
    </row>
    <row r="81" spans="2:10" ht="12" customHeight="1" x14ac:dyDescent="0.25">
      <c r="B81" s="56"/>
      <c r="C81" s="56"/>
      <c r="D81" s="56"/>
      <c r="E81" s="56"/>
      <c r="F81" s="56"/>
      <c r="G81" s="56"/>
      <c r="H81" s="56"/>
      <c r="I81" s="56"/>
      <c r="J81" s="56"/>
    </row>
    <row r="82" spans="2:10" ht="13.8" x14ac:dyDescent="0.25">
      <c r="B82" s="56"/>
      <c r="C82" s="39" t="s">
        <v>0</v>
      </c>
      <c r="D82" s="108" t="s">
        <v>1</v>
      </c>
      <c r="E82" s="108" t="s">
        <v>2</v>
      </c>
      <c r="F82" s="108" t="s">
        <v>13</v>
      </c>
      <c r="G82" s="108" t="s">
        <v>14</v>
      </c>
      <c r="H82" s="108" t="s">
        <v>15</v>
      </c>
      <c r="I82" s="109" t="s">
        <v>16</v>
      </c>
      <c r="J82" s="56"/>
    </row>
    <row r="83" spans="2:10" ht="13.8" x14ac:dyDescent="0.25">
      <c r="B83" s="56"/>
      <c r="C83" s="95" t="s">
        <v>253</v>
      </c>
      <c r="D83" s="63"/>
      <c r="E83" s="63">
        <f>+E71+E74+E75</f>
        <v>68</v>
      </c>
      <c r="F83" s="63">
        <f>+F71+F74+F75</f>
        <v>50</v>
      </c>
      <c r="G83" s="63">
        <f>+G71+G74+G75</f>
        <v>50</v>
      </c>
      <c r="H83" s="63">
        <f>+H71+H74+H75</f>
        <v>50</v>
      </c>
      <c r="I83" s="99">
        <f>+I71+I74+I75</f>
        <v>50</v>
      </c>
      <c r="J83" s="56"/>
    </row>
    <row r="84" spans="2:10" ht="13.8" x14ac:dyDescent="0.25">
      <c r="B84" s="56"/>
      <c r="C84" s="95" t="s">
        <v>84</v>
      </c>
      <c r="D84" s="63">
        <f t="shared" ref="D84:I84" si="13">+D78</f>
        <v>21</v>
      </c>
      <c r="E84" s="63">
        <f t="shared" si="13"/>
        <v>-16.45</v>
      </c>
      <c r="F84" s="63">
        <f t="shared" si="13"/>
        <v>-10.149999999999999</v>
      </c>
      <c r="G84" s="63">
        <f t="shared" si="13"/>
        <v>-10.149999999999999</v>
      </c>
      <c r="H84" s="63">
        <f t="shared" si="13"/>
        <v>-10.149999999999999</v>
      </c>
      <c r="I84" s="99">
        <f t="shared" si="13"/>
        <v>-20.65</v>
      </c>
      <c r="J84" s="56"/>
    </row>
    <row r="85" spans="2:10" ht="13.8" x14ac:dyDescent="0.25">
      <c r="B85" s="56"/>
      <c r="C85" s="95" t="s">
        <v>254</v>
      </c>
      <c r="D85" s="63"/>
      <c r="E85" s="63"/>
      <c r="F85" s="63"/>
      <c r="G85" s="63"/>
      <c r="H85" s="63"/>
      <c r="I85" s="99">
        <f>+I72</f>
        <v>30</v>
      </c>
      <c r="J85" s="56"/>
    </row>
    <row r="86" spans="2:10" ht="13.8" x14ac:dyDescent="0.25">
      <c r="B86" s="56"/>
      <c r="C86" s="95" t="s">
        <v>255</v>
      </c>
      <c r="D86" s="63"/>
      <c r="E86" s="63"/>
      <c r="F86" s="63"/>
      <c r="G86" s="63"/>
      <c r="H86" s="63"/>
      <c r="I86" s="99">
        <f>-D89</f>
        <v>10</v>
      </c>
      <c r="J86" s="56"/>
    </row>
    <row r="87" spans="2:10" ht="13.8" x14ac:dyDescent="0.25">
      <c r="B87" s="56"/>
      <c r="C87" s="95" t="s">
        <v>256</v>
      </c>
      <c r="D87" s="63">
        <v>15</v>
      </c>
      <c r="E87" s="63"/>
      <c r="F87" s="63"/>
      <c r="G87" s="63"/>
      <c r="H87" s="63"/>
      <c r="I87" s="99"/>
      <c r="J87" s="56"/>
    </row>
    <row r="88" spans="2:10" ht="13.8" x14ac:dyDescent="0.25">
      <c r="B88" s="56"/>
      <c r="C88" s="95" t="s">
        <v>257</v>
      </c>
      <c r="D88" s="63">
        <v>-180</v>
      </c>
      <c r="E88" s="63"/>
      <c r="F88" s="63"/>
      <c r="G88" s="63"/>
      <c r="H88" s="63"/>
      <c r="I88" s="99"/>
      <c r="J88" s="56"/>
    </row>
    <row r="89" spans="2:10" ht="13.8" x14ac:dyDescent="0.25">
      <c r="B89" s="56"/>
      <c r="C89" s="96" t="s">
        <v>258</v>
      </c>
      <c r="D89" s="182">
        <f>-D5</f>
        <v>-10</v>
      </c>
      <c r="E89" s="182"/>
      <c r="F89" s="182"/>
      <c r="G89" s="182"/>
      <c r="H89" s="182"/>
      <c r="I89" s="100"/>
      <c r="J89" s="56"/>
    </row>
    <row r="90" spans="2:10" ht="13.8" x14ac:dyDescent="0.25">
      <c r="B90" s="56"/>
      <c r="C90" s="227" t="s">
        <v>43</v>
      </c>
      <c r="D90" s="176">
        <f>SUM(D83:D89)</f>
        <v>-154</v>
      </c>
      <c r="E90" s="176">
        <f t="shared" ref="E90:I90" si="14">SUM(E83:E89)</f>
        <v>51.55</v>
      </c>
      <c r="F90" s="176">
        <f t="shared" si="14"/>
        <v>39.85</v>
      </c>
      <c r="G90" s="176">
        <f t="shared" si="14"/>
        <v>39.85</v>
      </c>
      <c r="H90" s="176">
        <f t="shared" si="14"/>
        <v>39.85</v>
      </c>
      <c r="I90" s="177">
        <f t="shared" si="14"/>
        <v>69.349999999999994</v>
      </c>
      <c r="J90" s="56"/>
    </row>
    <row r="91" spans="2:10" ht="13.8" x14ac:dyDescent="0.25">
      <c r="B91" s="56"/>
      <c r="C91" s="56"/>
      <c r="D91" s="56"/>
      <c r="E91" s="56"/>
      <c r="F91" s="56"/>
      <c r="G91" s="56"/>
      <c r="H91" s="56"/>
      <c r="I91" s="56"/>
      <c r="J91" s="56"/>
    </row>
    <row r="92" spans="2:10" ht="13.8" x14ac:dyDescent="0.25">
      <c r="B92" s="56"/>
      <c r="C92" s="91" t="s">
        <v>72</v>
      </c>
      <c r="D92" s="87">
        <f>+D64</f>
        <v>0.1452</v>
      </c>
      <c r="E92" s="56"/>
      <c r="F92" s="56"/>
      <c r="G92" s="56"/>
      <c r="H92" s="56"/>
      <c r="I92" s="56"/>
      <c r="J92" s="56"/>
    </row>
    <row r="93" spans="2:10" ht="6" customHeight="1" x14ac:dyDescent="0.25">
      <c r="B93" s="56"/>
      <c r="C93" s="56"/>
      <c r="D93" s="56"/>
      <c r="E93" s="56"/>
      <c r="F93" s="56"/>
      <c r="G93" s="56"/>
      <c r="H93" s="56"/>
      <c r="I93" s="56"/>
      <c r="J93" s="56"/>
    </row>
    <row r="94" spans="2:10" ht="13.8" x14ac:dyDescent="0.25">
      <c r="B94" s="56"/>
      <c r="C94" s="91" t="s">
        <v>44</v>
      </c>
      <c r="D94" s="226">
        <f>+D90+NPV(D92,E90:I90)</f>
        <v>6.3089351947515979</v>
      </c>
      <c r="E94" s="56"/>
      <c r="F94" s="56"/>
      <c r="G94" s="56"/>
      <c r="H94" s="56"/>
      <c r="I94" s="56"/>
      <c r="J94" s="56"/>
    </row>
    <row r="95" spans="2:10" ht="13.8" x14ac:dyDescent="0.25">
      <c r="B95" s="56"/>
      <c r="C95" s="56"/>
      <c r="D95" s="56"/>
      <c r="E95" s="56"/>
      <c r="F95" s="56"/>
      <c r="G95" s="56"/>
      <c r="H95" s="56"/>
      <c r="I95" s="56"/>
      <c r="J95" s="56"/>
    </row>
    <row r="96" spans="2:10" ht="13.8" x14ac:dyDescent="0.25">
      <c r="B96" s="56"/>
      <c r="C96" s="56"/>
      <c r="D96" s="56"/>
      <c r="E96" s="56"/>
      <c r="F96" s="56"/>
      <c r="G96" s="56"/>
      <c r="H96" s="56"/>
      <c r="I96" s="56"/>
      <c r="J96" s="56"/>
    </row>
  </sheetData>
  <sheetProtection algorithmName="SHA-512" hashValue="kNU9f7LAQ5XPmpJOlZKujfkRyjlZsm3FQfFkzQfE1qHO2LDfR+Yc36OcfOX7QRc3NUgoh9vx6f/pevfDmaRqgg==" saltValue="xelud2bs+tQAk8hKlbnnRw==" spinCount="100000" sheet="1" objects="1" scenarios="1"/>
  <mergeCells count="5">
    <mergeCell ref="C69:I69"/>
    <mergeCell ref="C27:I27"/>
    <mergeCell ref="C11:I11"/>
    <mergeCell ref="C9:I9"/>
    <mergeCell ref="C1:I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C1:N53"/>
  <sheetViews>
    <sheetView workbookViewId="0">
      <selection activeCell="L47" sqref="L47"/>
    </sheetView>
  </sheetViews>
  <sheetFormatPr baseColWidth="10" defaultRowHeight="13.8" x14ac:dyDescent="0.25"/>
  <cols>
    <col min="1" max="1" width="11.5546875" style="66"/>
    <col min="2" max="2" width="11.5546875" style="66" customWidth="1"/>
    <col min="3" max="3" width="26.5546875" style="66" customWidth="1"/>
    <col min="4" max="4" width="12.6640625" style="66" customWidth="1"/>
    <col min="5" max="5" width="13.109375" style="66" customWidth="1"/>
    <col min="6" max="9" width="12.6640625" style="66" customWidth="1"/>
    <col min="10" max="10" width="11.44140625" style="66"/>
    <col min="11" max="11" width="22.33203125" style="66" customWidth="1"/>
    <col min="12" max="12" width="12.88671875" style="66" customWidth="1"/>
    <col min="13" max="13" width="13.109375" style="66" customWidth="1"/>
    <col min="14" max="253" width="11.44140625" style="66"/>
    <col min="254" max="254" width="23" style="66" customWidth="1"/>
    <col min="255" max="509" width="11.44140625" style="66"/>
    <col min="510" max="510" width="23" style="66" customWidth="1"/>
    <col min="511" max="765" width="11.44140625" style="66"/>
    <col min="766" max="766" width="23" style="66" customWidth="1"/>
    <col min="767" max="1021" width="11.44140625" style="66"/>
    <col min="1022" max="1022" width="23" style="66" customWidth="1"/>
    <col min="1023" max="1277" width="11.44140625" style="66"/>
    <col min="1278" max="1278" width="23" style="66" customWidth="1"/>
    <col min="1279" max="1533" width="11.44140625" style="66"/>
    <col min="1534" max="1534" width="23" style="66" customWidth="1"/>
    <col min="1535" max="1789" width="11.44140625" style="66"/>
    <col min="1790" max="1790" width="23" style="66" customWidth="1"/>
    <col min="1791" max="2045" width="11.44140625" style="66"/>
    <col min="2046" max="2046" width="23" style="66" customWidth="1"/>
    <col min="2047" max="2301" width="11.44140625" style="66"/>
    <col min="2302" max="2302" width="23" style="66" customWidth="1"/>
    <col min="2303" max="2557" width="11.44140625" style="66"/>
    <col min="2558" max="2558" width="23" style="66" customWidth="1"/>
    <col min="2559" max="2813" width="11.44140625" style="66"/>
    <col min="2814" max="2814" width="23" style="66" customWidth="1"/>
    <col min="2815" max="3069" width="11.44140625" style="66"/>
    <col min="3070" max="3070" width="23" style="66" customWidth="1"/>
    <col min="3071" max="3325" width="11.44140625" style="66"/>
    <col min="3326" max="3326" width="23" style="66" customWidth="1"/>
    <col min="3327" max="3581" width="11.44140625" style="66"/>
    <col min="3582" max="3582" width="23" style="66" customWidth="1"/>
    <col min="3583" max="3837" width="11.44140625" style="66"/>
    <col min="3838" max="3838" width="23" style="66" customWidth="1"/>
    <col min="3839" max="4093" width="11.44140625" style="66"/>
    <col min="4094" max="4094" width="23" style="66" customWidth="1"/>
    <col min="4095" max="4349" width="11.44140625" style="66"/>
    <col min="4350" max="4350" width="23" style="66" customWidth="1"/>
    <col min="4351" max="4605" width="11.44140625" style="66"/>
    <col min="4606" max="4606" width="23" style="66" customWidth="1"/>
    <col min="4607" max="4861" width="11.44140625" style="66"/>
    <col min="4862" max="4862" width="23" style="66" customWidth="1"/>
    <col min="4863" max="5117" width="11.44140625" style="66"/>
    <col min="5118" max="5118" width="23" style="66" customWidth="1"/>
    <col min="5119" max="5373" width="11.44140625" style="66"/>
    <col min="5374" max="5374" width="23" style="66" customWidth="1"/>
    <col min="5375" max="5629" width="11.44140625" style="66"/>
    <col min="5630" max="5630" width="23" style="66" customWidth="1"/>
    <col min="5631" max="5885" width="11.44140625" style="66"/>
    <col min="5886" max="5886" width="23" style="66" customWidth="1"/>
    <col min="5887" max="6141" width="11.44140625" style="66"/>
    <col min="6142" max="6142" width="23" style="66" customWidth="1"/>
    <col min="6143" max="6397" width="11.44140625" style="66"/>
    <col min="6398" max="6398" width="23" style="66" customWidth="1"/>
    <col min="6399" max="6653" width="11.44140625" style="66"/>
    <col min="6654" max="6654" width="23" style="66" customWidth="1"/>
    <col min="6655" max="6909" width="11.44140625" style="66"/>
    <col min="6910" max="6910" width="23" style="66" customWidth="1"/>
    <col min="6911" max="7165" width="11.44140625" style="66"/>
    <col min="7166" max="7166" width="23" style="66" customWidth="1"/>
    <col min="7167" max="7421" width="11.44140625" style="66"/>
    <col min="7422" max="7422" width="23" style="66" customWidth="1"/>
    <col min="7423" max="7677" width="11.44140625" style="66"/>
    <col min="7678" max="7678" width="23" style="66" customWidth="1"/>
    <col min="7679" max="7933" width="11.44140625" style="66"/>
    <col min="7934" max="7934" width="23" style="66" customWidth="1"/>
    <col min="7935" max="8189" width="11.44140625" style="66"/>
    <col min="8190" max="8190" width="23" style="66" customWidth="1"/>
    <col min="8191" max="8445" width="11.44140625" style="66"/>
    <col min="8446" max="8446" width="23" style="66" customWidth="1"/>
    <col min="8447" max="8701" width="11.44140625" style="66"/>
    <col min="8702" max="8702" width="23" style="66" customWidth="1"/>
    <col min="8703" max="8957" width="11.44140625" style="66"/>
    <col min="8958" max="8958" width="23" style="66" customWidth="1"/>
    <col min="8959" max="9213" width="11.44140625" style="66"/>
    <col min="9214" max="9214" width="23" style="66" customWidth="1"/>
    <col min="9215" max="9469" width="11.44140625" style="66"/>
    <col min="9470" max="9470" width="23" style="66" customWidth="1"/>
    <col min="9471" max="9725" width="11.44140625" style="66"/>
    <col min="9726" max="9726" width="23" style="66" customWidth="1"/>
    <col min="9727" max="9981" width="11.44140625" style="66"/>
    <col min="9982" max="9982" width="23" style="66" customWidth="1"/>
    <col min="9983" max="10237" width="11.44140625" style="66"/>
    <col min="10238" max="10238" width="23" style="66" customWidth="1"/>
    <col min="10239" max="10493" width="11.44140625" style="66"/>
    <col min="10494" max="10494" width="23" style="66" customWidth="1"/>
    <col min="10495" max="10749" width="11.44140625" style="66"/>
    <col min="10750" max="10750" width="23" style="66" customWidth="1"/>
    <col min="10751" max="11005" width="11.44140625" style="66"/>
    <col min="11006" max="11006" width="23" style="66" customWidth="1"/>
    <col min="11007" max="11261" width="11.44140625" style="66"/>
    <col min="11262" max="11262" width="23" style="66" customWidth="1"/>
    <col min="11263" max="11517" width="11.44140625" style="66"/>
    <col min="11518" max="11518" width="23" style="66" customWidth="1"/>
    <col min="11519" max="11773" width="11.44140625" style="66"/>
    <col min="11774" max="11774" width="23" style="66" customWidth="1"/>
    <col min="11775" max="12029" width="11.44140625" style="66"/>
    <col min="12030" max="12030" width="23" style="66" customWidth="1"/>
    <col min="12031" max="12285" width="11.44140625" style="66"/>
    <col min="12286" max="12286" width="23" style="66" customWidth="1"/>
    <col min="12287" max="12541" width="11.44140625" style="66"/>
    <col min="12542" max="12542" width="23" style="66" customWidth="1"/>
    <col min="12543" max="12797" width="11.44140625" style="66"/>
    <col min="12798" max="12798" width="23" style="66" customWidth="1"/>
    <col min="12799" max="13053" width="11.44140625" style="66"/>
    <col min="13054" max="13054" width="23" style="66" customWidth="1"/>
    <col min="13055" max="13309" width="11.44140625" style="66"/>
    <col min="13310" max="13310" width="23" style="66" customWidth="1"/>
    <col min="13311" max="13565" width="11.44140625" style="66"/>
    <col min="13566" max="13566" width="23" style="66" customWidth="1"/>
    <col min="13567" max="13821" width="11.44140625" style="66"/>
    <col min="13822" max="13822" width="23" style="66" customWidth="1"/>
    <col min="13823" max="14077" width="11.44140625" style="66"/>
    <col min="14078" max="14078" width="23" style="66" customWidth="1"/>
    <col min="14079" max="14333" width="11.44140625" style="66"/>
    <col min="14334" max="14334" width="23" style="66" customWidth="1"/>
    <col min="14335" max="14589" width="11.44140625" style="66"/>
    <col min="14590" max="14590" width="23" style="66" customWidth="1"/>
    <col min="14591" max="14845" width="11.44140625" style="66"/>
    <col min="14846" max="14846" width="23" style="66" customWidth="1"/>
    <col min="14847" max="15101" width="11.44140625" style="66"/>
    <col min="15102" max="15102" width="23" style="66" customWidth="1"/>
    <col min="15103" max="15357" width="11.44140625" style="66"/>
    <col min="15358" max="15358" width="23" style="66" customWidth="1"/>
    <col min="15359" max="15613" width="11.44140625" style="66"/>
    <col min="15614" max="15614" width="23" style="66" customWidth="1"/>
    <col min="15615" max="15869" width="11.44140625" style="66"/>
    <col min="15870" max="15870" width="23" style="66" customWidth="1"/>
    <col min="15871" max="16125" width="11.44140625" style="66"/>
    <col min="16126" max="16126" width="23" style="66" customWidth="1"/>
    <col min="16127" max="16384" width="11.44140625" style="66"/>
  </cols>
  <sheetData>
    <row r="1" spans="3:14" ht="19.95" customHeight="1" x14ac:dyDescent="0.25">
      <c r="C1" s="353" t="s">
        <v>338</v>
      </c>
      <c r="D1" s="353"/>
      <c r="E1" s="353"/>
      <c r="F1" s="353"/>
      <c r="G1" s="353"/>
      <c r="H1" s="353"/>
      <c r="I1" s="353"/>
    </row>
    <row r="3" spans="3:14" ht="15.6" customHeight="1" x14ac:dyDescent="0.25">
      <c r="C3" s="307"/>
      <c r="D3" s="288" t="s">
        <v>159</v>
      </c>
      <c r="E3" s="287" t="s">
        <v>161</v>
      </c>
      <c r="F3" s="307" t="s">
        <v>209</v>
      </c>
      <c r="G3" s="56"/>
      <c r="H3" s="56"/>
      <c r="I3" s="56"/>
    </row>
    <row r="4" spans="3:14" x14ac:dyDescent="0.25">
      <c r="C4" s="208" t="s">
        <v>165</v>
      </c>
      <c r="D4" s="63">
        <v>0</v>
      </c>
      <c r="E4" s="95">
        <v>2500</v>
      </c>
      <c r="F4" s="208">
        <f>+E4-D4</f>
        <v>2500</v>
      </c>
    </row>
    <row r="5" spans="3:14" x14ac:dyDescent="0.25">
      <c r="C5" s="208" t="s">
        <v>30</v>
      </c>
      <c r="D5" s="63">
        <f>-35000/5</f>
        <v>-7000</v>
      </c>
      <c r="E5" s="95">
        <f>-42000/5</f>
        <v>-8400</v>
      </c>
      <c r="F5" s="208">
        <f>+E5-D5</f>
        <v>-1400</v>
      </c>
    </row>
    <row r="6" spans="3:14" x14ac:dyDescent="0.25">
      <c r="C6" s="220" t="s">
        <v>212</v>
      </c>
      <c r="D6" s="182">
        <v>0</v>
      </c>
      <c r="E6" s="96">
        <v>-42000</v>
      </c>
      <c r="F6" s="220">
        <f>+E6-D6</f>
        <v>-42000</v>
      </c>
    </row>
    <row r="9" spans="3:14" x14ac:dyDescent="0.25">
      <c r="C9" s="373" t="s">
        <v>170</v>
      </c>
      <c r="D9" s="373"/>
      <c r="E9" s="373"/>
      <c r="F9" s="373"/>
      <c r="G9" s="373"/>
      <c r="H9" s="373"/>
      <c r="I9" s="373"/>
    </row>
    <row r="10" spans="3:14" x14ac:dyDescent="0.25">
      <c r="D10" s="56"/>
      <c r="E10" s="56"/>
      <c r="F10" s="56"/>
      <c r="G10" s="56"/>
      <c r="H10" s="56"/>
      <c r="I10" s="56"/>
      <c r="K10" s="63"/>
      <c r="L10" s="63"/>
      <c r="M10" s="63"/>
      <c r="N10" s="63"/>
    </row>
    <row r="11" spans="3:14" x14ac:dyDescent="0.25">
      <c r="C11" s="243" t="s">
        <v>37</v>
      </c>
      <c r="D11" s="287" t="s">
        <v>1</v>
      </c>
      <c r="E11" s="287" t="s">
        <v>2</v>
      </c>
      <c r="F11" s="287" t="s">
        <v>13</v>
      </c>
      <c r="G11" s="287" t="s">
        <v>14</v>
      </c>
      <c r="H11" s="287" t="s">
        <v>15</v>
      </c>
      <c r="I11" s="288" t="s">
        <v>16</v>
      </c>
    </row>
    <row r="12" spans="3:14" x14ac:dyDescent="0.25">
      <c r="C12" s="95" t="s">
        <v>40</v>
      </c>
      <c r="D12" s="63"/>
      <c r="E12" s="63">
        <f>+$F$4</f>
        <v>2500</v>
      </c>
      <c r="F12" s="63">
        <f>+$F$4</f>
        <v>2500</v>
      </c>
      <c r="G12" s="63">
        <f>+$F$4</f>
        <v>2500</v>
      </c>
      <c r="H12" s="63">
        <f>+$F$4</f>
        <v>2500</v>
      </c>
      <c r="I12" s="99">
        <f>+$F$4</f>
        <v>2500</v>
      </c>
    </row>
    <row r="13" spans="3:14" x14ac:dyDescent="0.25">
      <c r="C13" s="95" t="s">
        <v>287</v>
      </c>
      <c r="D13" s="63">
        <v>-5000</v>
      </c>
      <c r="E13" s="63"/>
      <c r="F13" s="63"/>
      <c r="G13" s="63"/>
      <c r="H13" s="63"/>
      <c r="I13" s="99"/>
    </row>
    <row r="14" spans="3:14" x14ac:dyDescent="0.25">
      <c r="C14" s="95" t="s">
        <v>30</v>
      </c>
      <c r="D14" s="63"/>
      <c r="E14" s="63">
        <f>+$F$5</f>
        <v>-1400</v>
      </c>
      <c r="F14" s="63">
        <f>+$F$5</f>
        <v>-1400</v>
      </c>
      <c r="G14" s="63">
        <f>+$F$5</f>
        <v>-1400</v>
      </c>
      <c r="H14" s="63">
        <f>+$F$5</f>
        <v>-1400</v>
      </c>
      <c r="I14" s="99">
        <f>+$F$5</f>
        <v>-1400</v>
      </c>
    </row>
    <row r="15" spans="3:14" x14ac:dyDescent="0.25">
      <c r="C15" s="95" t="s">
        <v>84</v>
      </c>
      <c r="D15" s="63">
        <f>-D13*0.3</f>
        <v>1500</v>
      </c>
      <c r="E15" s="63">
        <f>-SUM(E12:E14)*0.3</f>
        <v>-330</v>
      </c>
      <c r="F15" s="63">
        <f>-SUM(F12:F14)*0.3</f>
        <v>-330</v>
      </c>
      <c r="G15" s="63">
        <f>-SUM(G12:G14)*0.3</f>
        <v>-330</v>
      </c>
      <c r="H15" s="63">
        <f>-SUM(H12:H14)*0.3</f>
        <v>-330</v>
      </c>
      <c r="I15" s="99">
        <f>-SUM(I12:I14)*0.3</f>
        <v>-330</v>
      </c>
    </row>
    <row r="16" spans="3:14" x14ac:dyDescent="0.25">
      <c r="C16" s="110" t="s">
        <v>39</v>
      </c>
      <c r="D16" s="93">
        <f t="shared" ref="D16:I16" si="0">SUM(D12:D15)</f>
        <v>-3500</v>
      </c>
      <c r="E16" s="93">
        <f>SUM(E12:E15)</f>
        <v>770</v>
      </c>
      <c r="F16" s="93">
        <f t="shared" si="0"/>
        <v>770</v>
      </c>
      <c r="G16" s="93">
        <f t="shared" si="0"/>
        <v>770</v>
      </c>
      <c r="H16" s="93">
        <f t="shared" si="0"/>
        <v>770</v>
      </c>
      <c r="I16" s="111">
        <f t="shared" si="0"/>
        <v>770</v>
      </c>
    </row>
    <row r="17" spans="3:9" x14ac:dyDescent="0.25">
      <c r="C17" s="56"/>
      <c r="D17" s="56"/>
      <c r="E17" s="56"/>
      <c r="F17" s="56"/>
      <c r="G17" s="56"/>
      <c r="H17" s="56"/>
      <c r="I17" s="56"/>
    </row>
    <row r="18" spans="3:9" x14ac:dyDescent="0.25">
      <c r="C18" s="243" t="s">
        <v>0</v>
      </c>
      <c r="D18" s="287" t="s">
        <v>1</v>
      </c>
      <c r="E18" s="287" t="s">
        <v>2</v>
      </c>
      <c r="F18" s="287" t="s">
        <v>13</v>
      </c>
      <c r="G18" s="287" t="s">
        <v>14</v>
      </c>
      <c r="H18" s="287" t="s">
        <v>15</v>
      </c>
      <c r="I18" s="288" t="s">
        <v>16</v>
      </c>
    </row>
    <row r="19" spans="3:9" x14ac:dyDescent="0.25">
      <c r="C19" s="95" t="s">
        <v>64</v>
      </c>
      <c r="D19" s="63">
        <f t="shared" ref="D19:I19" si="1">+D16</f>
        <v>-3500</v>
      </c>
      <c r="E19" s="63">
        <f t="shared" si="1"/>
        <v>770</v>
      </c>
      <c r="F19" s="63">
        <f t="shared" si="1"/>
        <v>770</v>
      </c>
      <c r="G19" s="63">
        <f t="shared" si="1"/>
        <v>770</v>
      </c>
      <c r="H19" s="63">
        <f t="shared" si="1"/>
        <v>770</v>
      </c>
      <c r="I19" s="99">
        <f t="shared" si="1"/>
        <v>770</v>
      </c>
    </row>
    <row r="20" spans="3:9" x14ac:dyDescent="0.25">
      <c r="C20" s="95" t="s">
        <v>65</v>
      </c>
      <c r="D20" s="63"/>
      <c r="E20" s="63">
        <f>-E14</f>
        <v>1400</v>
      </c>
      <c r="F20" s="63">
        <f>-F14</f>
        <v>1400</v>
      </c>
      <c r="G20" s="63">
        <f>-G14</f>
        <v>1400</v>
      </c>
      <c r="H20" s="63">
        <f>-H14</f>
        <v>1400</v>
      </c>
      <c r="I20" s="99">
        <f>-I14</f>
        <v>1400</v>
      </c>
    </row>
    <row r="21" spans="3:9" x14ac:dyDescent="0.25">
      <c r="C21" s="95" t="s">
        <v>286</v>
      </c>
      <c r="D21" s="63">
        <v>35000</v>
      </c>
      <c r="E21" s="63"/>
      <c r="F21" s="63"/>
      <c r="G21" s="63"/>
      <c r="H21" s="63"/>
      <c r="I21" s="99"/>
    </row>
    <row r="22" spans="3:9" x14ac:dyDescent="0.25">
      <c r="C22" s="95" t="s">
        <v>5</v>
      </c>
      <c r="D22" s="63">
        <v>-42000</v>
      </c>
      <c r="E22" s="63"/>
      <c r="F22" s="63"/>
      <c r="G22" s="63"/>
      <c r="H22" s="63"/>
      <c r="I22" s="99"/>
    </row>
    <row r="23" spans="3:9" x14ac:dyDescent="0.25">
      <c r="C23" s="227" t="s">
        <v>43</v>
      </c>
      <c r="D23" s="176">
        <f>SUM(D19:D22)</f>
        <v>-10500</v>
      </c>
      <c r="E23" s="176">
        <f t="shared" ref="E23:I23" si="2">SUM(E19:E22)</f>
        <v>2170</v>
      </c>
      <c r="F23" s="176">
        <f t="shared" si="2"/>
        <v>2170</v>
      </c>
      <c r="G23" s="176">
        <f t="shared" si="2"/>
        <v>2170</v>
      </c>
      <c r="H23" s="176">
        <f t="shared" si="2"/>
        <v>2170</v>
      </c>
      <c r="I23" s="177">
        <f t="shared" si="2"/>
        <v>2170</v>
      </c>
    </row>
    <row r="24" spans="3:9" ht="7.2" customHeight="1" x14ac:dyDescent="0.25"/>
    <row r="25" spans="3:9" ht="7.2" customHeight="1" x14ac:dyDescent="0.25"/>
    <row r="26" spans="3:9" x14ac:dyDescent="0.25">
      <c r="C26" s="373" t="s">
        <v>171</v>
      </c>
      <c r="D26" s="373"/>
      <c r="E26" s="373"/>
      <c r="F26" s="373"/>
      <c r="G26" s="373"/>
      <c r="H26" s="373"/>
      <c r="I26" s="373"/>
    </row>
    <row r="28" spans="3:9" x14ac:dyDescent="0.25">
      <c r="C28" s="243" t="s">
        <v>172</v>
      </c>
      <c r="D28" s="244"/>
      <c r="E28" s="244"/>
      <c r="F28" s="244"/>
      <c r="G28" s="244"/>
      <c r="H28" s="244"/>
      <c r="I28" s="187"/>
    </row>
    <row r="29" spans="3:9" x14ac:dyDescent="0.25">
      <c r="C29" s="291" t="s">
        <v>37</v>
      </c>
      <c r="D29" s="305" t="s">
        <v>1</v>
      </c>
      <c r="E29" s="305" t="s">
        <v>2</v>
      </c>
      <c r="F29" s="305" t="s">
        <v>13</v>
      </c>
      <c r="G29" s="305" t="s">
        <v>14</v>
      </c>
      <c r="H29" s="305" t="s">
        <v>15</v>
      </c>
      <c r="I29" s="306" t="s">
        <v>16</v>
      </c>
    </row>
    <row r="30" spans="3:9" x14ac:dyDescent="0.25">
      <c r="C30" s="146" t="s">
        <v>164</v>
      </c>
      <c r="D30" s="63"/>
      <c r="E30" s="63">
        <f>+$D$5</f>
        <v>-7000</v>
      </c>
      <c r="F30" s="63">
        <f>+$D$5</f>
        <v>-7000</v>
      </c>
      <c r="G30" s="63">
        <f>+$D$5</f>
        <v>-7000</v>
      </c>
      <c r="H30" s="63">
        <f>+$D$5</f>
        <v>-7000</v>
      </c>
      <c r="I30" s="99">
        <f>+$D$5</f>
        <v>-7000</v>
      </c>
    </row>
    <row r="31" spans="3:9" x14ac:dyDescent="0.25">
      <c r="C31" s="146" t="s">
        <v>84</v>
      </c>
      <c r="D31" s="63"/>
      <c r="E31" s="63">
        <f>-E30*0.3</f>
        <v>2100</v>
      </c>
      <c r="F31" s="63">
        <f t="shared" ref="F31:I31" si="3">-F30*0.3</f>
        <v>2100</v>
      </c>
      <c r="G31" s="63">
        <f t="shared" si="3"/>
        <v>2100</v>
      </c>
      <c r="H31" s="63">
        <f t="shared" si="3"/>
        <v>2100</v>
      </c>
      <c r="I31" s="99">
        <f t="shared" si="3"/>
        <v>2100</v>
      </c>
    </row>
    <row r="32" spans="3:9" x14ac:dyDescent="0.25">
      <c r="C32" s="162" t="s">
        <v>39</v>
      </c>
      <c r="D32" s="93"/>
      <c r="E32" s="93">
        <f>SUM(E30:E31)</f>
        <v>-4900</v>
      </c>
      <c r="F32" s="93">
        <f t="shared" ref="F32:I32" si="4">SUM(F30:F31)</f>
        <v>-4900</v>
      </c>
      <c r="G32" s="93">
        <f t="shared" si="4"/>
        <v>-4900</v>
      </c>
      <c r="H32" s="93">
        <f t="shared" si="4"/>
        <v>-4900</v>
      </c>
      <c r="I32" s="111">
        <f t="shared" si="4"/>
        <v>-4900</v>
      </c>
    </row>
    <row r="34" spans="3:9" x14ac:dyDescent="0.25">
      <c r="C34" s="39" t="s">
        <v>85</v>
      </c>
      <c r="D34" s="165" t="s">
        <v>1</v>
      </c>
      <c r="E34" s="165" t="s">
        <v>2</v>
      </c>
      <c r="F34" s="165" t="s">
        <v>13</v>
      </c>
      <c r="G34" s="165" t="s">
        <v>14</v>
      </c>
      <c r="H34" s="165" t="s">
        <v>15</v>
      </c>
      <c r="I34" s="186" t="s">
        <v>16</v>
      </c>
    </row>
    <row r="35" spans="3:9" x14ac:dyDescent="0.25">
      <c r="C35" s="146" t="s">
        <v>84</v>
      </c>
      <c r="D35" s="63"/>
      <c r="E35" s="63">
        <f>+E31</f>
        <v>2100</v>
      </c>
      <c r="F35" s="63">
        <f>+F31</f>
        <v>2100</v>
      </c>
      <c r="G35" s="63">
        <f>+G31</f>
        <v>2100</v>
      </c>
      <c r="H35" s="63">
        <f>+H31</f>
        <v>2100</v>
      </c>
      <c r="I35" s="99">
        <f>+I31</f>
        <v>2100</v>
      </c>
    </row>
    <row r="36" spans="3:9" x14ac:dyDescent="0.25">
      <c r="C36" s="162" t="s">
        <v>7</v>
      </c>
      <c r="D36" s="93">
        <f t="shared" ref="D36:I36" si="5">+D35</f>
        <v>0</v>
      </c>
      <c r="E36" s="93">
        <f t="shared" si="5"/>
        <v>2100</v>
      </c>
      <c r="F36" s="93">
        <f t="shared" si="5"/>
        <v>2100</v>
      </c>
      <c r="G36" s="93">
        <f t="shared" si="5"/>
        <v>2100</v>
      </c>
      <c r="H36" s="93">
        <f t="shared" si="5"/>
        <v>2100</v>
      </c>
      <c r="I36" s="111">
        <f t="shared" si="5"/>
        <v>2100</v>
      </c>
    </row>
    <row r="38" spans="3:9" x14ac:dyDescent="0.25">
      <c r="C38" s="243" t="s">
        <v>173</v>
      </c>
      <c r="D38" s="244"/>
      <c r="E38" s="244"/>
      <c r="F38" s="244"/>
      <c r="G38" s="244"/>
      <c r="H38" s="244"/>
      <c r="I38" s="187"/>
    </row>
    <row r="39" spans="3:9" x14ac:dyDescent="0.25">
      <c r="C39" s="291" t="s">
        <v>37</v>
      </c>
      <c r="D39" s="305" t="s">
        <v>1</v>
      </c>
      <c r="E39" s="305" t="s">
        <v>2</v>
      </c>
      <c r="F39" s="305" t="s">
        <v>13</v>
      </c>
      <c r="G39" s="305" t="s">
        <v>14</v>
      </c>
      <c r="H39" s="305" t="s">
        <v>15</v>
      </c>
      <c r="I39" s="306" t="s">
        <v>16</v>
      </c>
    </row>
    <row r="40" spans="3:9" x14ac:dyDescent="0.25">
      <c r="C40" s="146" t="s">
        <v>40</v>
      </c>
      <c r="D40" s="63"/>
      <c r="E40" s="63">
        <v>2500</v>
      </c>
      <c r="F40" s="63">
        <v>2500</v>
      </c>
      <c r="G40" s="63">
        <v>2500</v>
      </c>
      <c r="H40" s="63">
        <v>2500</v>
      </c>
      <c r="I40" s="99">
        <v>2500</v>
      </c>
    </row>
    <row r="41" spans="3:9" x14ac:dyDescent="0.25">
      <c r="C41" s="146" t="s">
        <v>174</v>
      </c>
      <c r="D41" s="63">
        <v>-5000</v>
      </c>
      <c r="E41" s="63"/>
      <c r="F41" s="63"/>
      <c r="G41" s="63"/>
      <c r="H41" s="63"/>
      <c r="I41" s="99"/>
    </row>
    <row r="42" spans="3:9" x14ac:dyDescent="0.25">
      <c r="C42" s="146" t="s">
        <v>175</v>
      </c>
      <c r="D42" s="63"/>
      <c r="E42" s="63">
        <f>$E$5</f>
        <v>-8400</v>
      </c>
      <c r="F42" s="63">
        <f>$E$5</f>
        <v>-8400</v>
      </c>
      <c r="G42" s="63">
        <f>$E$5</f>
        <v>-8400</v>
      </c>
      <c r="H42" s="63">
        <f>$E$5</f>
        <v>-8400</v>
      </c>
      <c r="I42" s="99">
        <f>$E$5</f>
        <v>-8400</v>
      </c>
    </row>
    <row r="43" spans="3:9" x14ac:dyDescent="0.25">
      <c r="C43" s="146" t="s">
        <v>84</v>
      </c>
      <c r="D43" s="63">
        <f>-D41*0.3</f>
        <v>1500</v>
      </c>
      <c r="E43" s="63">
        <f>-(E40+E42)*0.3</f>
        <v>1770</v>
      </c>
      <c r="F43" s="63">
        <f t="shared" ref="F43:I43" si="6">-(F40+F42)*0.3</f>
        <v>1770</v>
      </c>
      <c r="G43" s="63">
        <f t="shared" si="6"/>
        <v>1770</v>
      </c>
      <c r="H43" s="63">
        <f t="shared" si="6"/>
        <v>1770</v>
      </c>
      <c r="I43" s="99">
        <f t="shared" si="6"/>
        <v>1770</v>
      </c>
    </row>
    <row r="44" spans="3:9" x14ac:dyDescent="0.25">
      <c r="C44" s="162" t="s">
        <v>39</v>
      </c>
      <c r="D44" s="93">
        <f>SUM(D40:D43)</f>
        <v>-3500</v>
      </c>
      <c r="E44" s="93">
        <f>SUM(E40:E43)</f>
        <v>-4130</v>
      </c>
      <c r="F44" s="93">
        <f t="shared" ref="F44:I44" si="7">SUM(F40:F43)</f>
        <v>-4130</v>
      </c>
      <c r="G44" s="93">
        <f t="shared" si="7"/>
        <v>-4130</v>
      </c>
      <c r="H44" s="93">
        <f t="shared" si="7"/>
        <v>-4130</v>
      </c>
      <c r="I44" s="111">
        <f t="shared" si="7"/>
        <v>-4130</v>
      </c>
    </row>
    <row r="45" spans="3:9" x14ac:dyDescent="0.25">
      <c r="D45" s="56"/>
      <c r="E45" s="56"/>
      <c r="F45" s="56"/>
      <c r="G45" s="56"/>
      <c r="H45" s="56"/>
      <c r="I45" s="56"/>
    </row>
    <row r="46" spans="3:9" x14ac:dyDescent="0.25">
      <c r="C46" s="270" t="s">
        <v>85</v>
      </c>
      <c r="D46" s="287" t="s">
        <v>1</v>
      </c>
      <c r="E46" s="287" t="s">
        <v>2</v>
      </c>
      <c r="F46" s="287" t="s">
        <v>13</v>
      </c>
      <c r="G46" s="287" t="s">
        <v>14</v>
      </c>
      <c r="H46" s="287" t="s">
        <v>15</v>
      </c>
      <c r="I46" s="288" t="s">
        <v>16</v>
      </c>
    </row>
    <row r="47" spans="3:9" x14ac:dyDescent="0.25">
      <c r="C47" s="146" t="s">
        <v>40</v>
      </c>
      <c r="D47" s="63"/>
      <c r="E47" s="63">
        <f>+E40</f>
        <v>2500</v>
      </c>
      <c r="F47" s="63">
        <f>+F40</f>
        <v>2500</v>
      </c>
      <c r="G47" s="63">
        <f>+G40</f>
        <v>2500</v>
      </c>
      <c r="H47" s="63">
        <f>+H40</f>
        <v>2500</v>
      </c>
      <c r="I47" s="99">
        <f>+I40</f>
        <v>2500</v>
      </c>
    </row>
    <row r="48" spans="3:9" x14ac:dyDescent="0.25">
      <c r="C48" s="146" t="s">
        <v>84</v>
      </c>
      <c r="D48" s="63">
        <f t="shared" ref="D48:I48" si="8">+D43</f>
        <v>1500</v>
      </c>
      <c r="E48" s="63">
        <f t="shared" si="8"/>
        <v>1770</v>
      </c>
      <c r="F48" s="63">
        <f t="shared" si="8"/>
        <v>1770</v>
      </c>
      <c r="G48" s="63">
        <f t="shared" si="8"/>
        <v>1770</v>
      </c>
      <c r="H48" s="63">
        <f t="shared" si="8"/>
        <v>1770</v>
      </c>
      <c r="I48" s="99">
        <f t="shared" si="8"/>
        <v>1770</v>
      </c>
    </row>
    <row r="49" spans="3:9" x14ac:dyDescent="0.25">
      <c r="C49" s="146" t="s">
        <v>176</v>
      </c>
      <c r="D49" s="63">
        <v>30000</v>
      </c>
      <c r="E49" s="63"/>
      <c r="F49" s="63"/>
      <c r="G49" s="63"/>
      <c r="H49" s="63"/>
      <c r="I49" s="99"/>
    </row>
    <row r="50" spans="3:9" x14ac:dyDescent="0.25">
      <c r="C50" s="146" t="s">
        <v>177</v>
      </c>
      <c r="D50" s="63">
        <v>-42000</v>
      </c>
      <c r="E50" s="63"/>
      <c r="F50" s="63"/>
      <c r="G50" s="63"/>
      <c r="H50" s="63"/>
      <c r="I50" s="99"/>
    </row>
    <row r="51" spans="3:9" x14ac:dyDescent="0.25">
      <c r="C51" s="162" t="s">
        <v>7</v>
      </c>
      <c r="D51" s="93">
        <f>+D48+D49+D50</f>
        <v>-10500</v>
      </c>
      <c r="E51" s="93">
        <f>+E47+E48</f>
        <v>4270</v>
      </c>
      <c r="F51" s="93">
        <f>+F47+F48</f>
        <v>4270</v>
      </c>
      <c r="G51" s="93">
        <f>+G47+G48</f>
        <v>4270</v>
      </c>
      <c r="H51" s="93">
        <f>+H47+H48</f>
        <v>4270</v>
      </c>
      <c r="I51" s="111">
        <f>+I47+I48</f>
        <v>4270</v>
      </c>
    </row>
    <row r="52" spans="3:9" x14ac:dyDescent="0.25">
      <c r="D52" s="56"/>
      <c r="E52" s="56"/>
      <c r="F52" s="56"/>
      <c r="G52" s="56"/>
      <c r="H52" s="56"/>
      <c r="I52" s="56"/>
    </row>
    <row r="53" spans="3:9" x14ac:dyDescent="0.25">
      <c r="C53" s="253" t="s">
        <v>288</v>
      </c>
      <c r="D53" s="176">
        <f t="shared" ref="D53:I53" si="9">+D51-D36</f>
        <v>-10500</v>
      </c>
      <c r="E53" s="176">
        <f t="shared" si="9"/>
        <v>2170</v>
      </c>
      <c r="F53" s="176">
        <f t="shared" si="9"/>
        <v>2170</v>
      </c>
      <c r="G53" s="176">
        <f t="shared" si="9"/>
        <v>2170</v>
      </c>
      <c r="H53" s="176">
        <f t="shared" si="9"/>
        <v>2170</v>
      </c>
      <c r="I53" s="176">
        <f t="shared" si="9"/>
        <v>2170</v>
      </c>
    </row>
  </sheetData>
  <sheetProtection algorithmName="SHA-512" hashValue="DisffyEst472VuDID+nlzaXgLVfvkW2AqXIw7tYihnZlyOV+vdYt4cxOQfSpX+MG6twbFg+cYQ3kkeQjxqTrVw==" saltValue="Z+ngVE9WuPkdndrmmr5BtA==" spinCount="100000" sheet="1" objects="1" scenarios="1"/>
  <mergeCells count="3">
    <mergeCell ref="C1:I1"/>
    <mergeCell ref="C26:I26"/>
    <mergeCell ref="C9:I9"/>
  </mergeCells>
  <pageMargins left="0.7" right="0.7" top="0.75" bottom="0.75" header="0.3" footer="0.3"/>
  <pageSetup orientation="portrait" horizontalDpi="360" verticalDpi="36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C1:N57"/>
  <sheetViews>
    <sheetView topLeftCell="A19" zoomScale="90" zoomScaleNormal="90" workbookViewId="0">
      <selection activeCell="D22" sqref="D22"/>
    </sheetView>
  </sheetViews>
  <sheetFormatPr baseColWidth="10" defaultRowHeight="13.8" x14ac:dyDescent="0.25"/>
  <cols>
    <col min="1" max="1" width="11.5546875" style="56"/>
    <col min="2" max="2" width="10.6640625" style="56" customWidth="1"/>
    <col min="3" max="3" width="19.6640625" style="56" bestFit="1" customWidth="1"/>
    <col min="4" max="4" width="14.44140625" style="56" bestFit="1" customWidth="1"/>
    <col min="5" max="14" width="13.44140625" style="56" bestFit="1" customWidth="1"/>
    <col min="15" max="15" width="12.44140625" style="56" customWidth="1"/>
    <col min="16" max="21" width="11.44140625" style="56" customWidth="1"/>
    <col min="22" max="253" width="11.44140625" style="56"/>
    <col min="254" max="254" width="23" style="56" customWidth="1"/>
    <col min="255" max="255" width="12.88671875" style="56" customWidth="1"/>
    <col min="256" max="257" width="12.33203125" style="56" bestFit="1" customWidth="1"/>
    <col min="258" max="258" width="12.33203125" style="56" customWidth="1"/>
    <col min="259" max="260" width="12" style="56" customWidth="1"/>
    <col min="261" max="261" width="12.5546875" style="56" customWidth="1"/>
    <col min="262" max="262" width="12" style="56" customWidth="1"/>
    <col min="263" max="264" width="12.33203125" style="56" customWidth="1"/>
    <col min="265" max="266" width="12.44140625" style="56" customWidth="1"/>
    <col min="267" max="509" width="11.44140625" style="56"/>
    <col min="510" max="510" width="23" style="56" customWidth="1"/>
    <col min="511" max="511" width="12.88671875" style="56" customWidth="1"/>
    <col min="512" max="513" width="12.33203125" style="56" bestFit="1" customWidth="1"/>
    <col min="514" max="514" width="12.33203125" style="56" customWidth="1"/>
    <col min="515" max="516" width="12" style="56" customWidth="1"/>
    <col min="517" max="517" width="12.5546875" style="56" customWidth="1"/>
    <col min="518" max="518" width="12" style="56" customWidth="1"/>
    <col min="519" max="520" width="12.33203125" style="56" customWidth="1"/>
    <col min="521" max="522" width="12.44140625" style="56" customWidth="1"/>
    <col min="523" max="765" width="11.44140625" style="56"/>
    <col min="766" max="766" width="23" style="56" customWidth="1"/>
    <col min="767" max="767" width="12.88671875" style="56" customWidth="1"/>
    <col min="768" max="769" width="12.33203125" style="56" bestFit="1" customWidth="1"/>
    <col min="770" max="770" width="12.33203125" style="56" customWidth="1"/>
    <col min="771" max="772" width="12" style="56" customWidth="1"/>
    <col min="773" max="773" width="12.5546875" style="56" customWidth="1"/>
    <col min="774" max="774" width="12" style="56" customWidth="1"/>
    <col min="775" max="776" width="12.33203125" style="56" customWidth="1"/>
    <col min="777" max="778" width="12.44140625" style="56" customWidth="1"/>
    <col min="779" max="1021" width="11.44140625" style="56"/>
    <col min="1022" max="1022" width="23" style="56" customWidth="1"/>
    <col min="1023" max="1023" width="12.88671875" style="56" customWidth="1"/>
    <col min="1024" max="1025" width="12.33203125" style="56" bestFit="1" customWidth="1"/>
    <col min="1026" max="1026" width="12.33203125" style="56" customWidth="1"/>
    <col min="1027" max="1028" width="12" style="56" customWidth="1"/>
    <col min="1029" max="1029" width="12.5546875" style="56" customWidth="1"/>
    <col min="1030" max="1030" width="12" style="56" customWidth="1"/>
    <col min="1031" max="1032" width="12.33203125" style="56" customWidth="1"/>
    <col min="1033" max="1034" width="12.44140625" style="56" customWidth="1"/>
    <col min="1035" max="1277" width="11.44140625" style="56"/>
    <col min="1278" max="1278" width="23" style="56" customWidth="1"/>
    <col min="1279" max="1279" width="12.88671875" style="56" customWidth="1"/>
    <col min="1280" max="1281" width="12.33203125" style="56" bestFit="1" customWidth="1"/>
    <col min="1282" max="1282" width="12.33203125" style="56" customWidth="1"/>
    <col min="1283" max="1284" width="12" style="56" customWidth="1"/>
    <col min="1285" max="1285" width="12.5546875" style="56" customWidth="1"/>
    <col min="1286" max="1286" width="12" style="56" customWidth="1"/>
    <col min="1287" max="1288" width="12.33203125" style="56" customWidth="1"/>
    <col min="1289" max="1290" width="12.44140625" style="56" customWidth="1"/>
    <col min="1291" max="1533" width="11.44140625" style="56"/>
    <col min="1534" max="1534" width="23" style="56" customWidth="1"/>
    <col min="1535" max="1535" width="12.88671875" style="56" customWidth="1"/>
    <col min="1536" max="1537" width="12.33203125" style="56" bestFit="1" customWidth="1"/>
    <col min="1538" max="1538" width="12.33203125" style="56" customWidth="1"/>
    <col min="1539" max="1540" width="12" style="56" customWidth="1"/>
    <col min="1541" max="1541" width="12.5546875" style="56" customWidth="1"/>
    <col min="1542" max="1542" width="12" style="56" customWidth="1"/>
    <col min="1543" max="1544" width="12.33203125" style="56" customWidth="1"/>
    <col min="1545" max="1546" width="12.44140625" style="56" customWidth="1"/>
    <col min="1547" max="1789" width="11.44140625" style="56"/>
    <col min="1790" max="1790" width="23" style="56" customWidth="1"/>
    <col min="1791" max="1791" width="12.88671875" style="56" customWidth="1"/>
    <col min="1792" max="1793" width="12.33203125" style="56" bestFit="1" customWidth="1"/>
    <col min="1794" max="1794" width="12.33203125" style="56" customWidth="1"/>
    <col min="1795" max="1796" width="12" style="56" customWidth="1"/>
    <col min="1797" max="1797" width="12.5546875" style="56" customWidth="1"/>
    <col min="1798" max="1798" width="12" style="56" customWidth="1"/>
    <col min="1799" max="1800" width="12.33203125" style="56" customWidth="1"/>
    <col min="1801" max="1802" width="12.44140625" style="56" customWidth="1"/>
    <col min="1803" max="2045" width="11.44140625" style="56"/>
    <col min="2046" max="2046" width="23" style="56" customWidth="1"/>
    <col min="2047" max="2047" width="12.88671875" style="56" customWidth="1"/>
    <col min="2048" max="2049" width="12.33203125" style="56" bestFit="1" customWidth="1"/>
    <col min="2050" max="2050" width="12.33203125" style="56" customWidth="1"/>
    <col min="2051" max="2052" width="12" style="56" customWidth="1"/>
    <col min="2053" max="2053" width="12.5546875" style="56" customWidth="1"/>
    <col min="2054" max="2054" width="12" style="56" customWidth="1"/>
    <col min="2055" max="2056" width="12.33203125" style="56" customWidth="1"/>
    <col min="2057" max="2058" width="12.44140625" style="56" customWidth="1"/>
    <col min="2059" max="2301" width="11.44140625" style="56"/>
    <col min="2302" max="2302" width="23" style="56" customWidth="1"/>
    <col min="2303" max="2303" width="12.88671875" style="56" customWidth="1"/>
    <col min="2304" max="2305" width="12.33203125" style="56" bestFit="1" customWidth="1"/>
    <col min="2306" max="2306" width="12.33203125" style="56" customWidth="1"/>
    <col min="2307" max="2308" width="12" style="56" customWidth="1"/>
    <col min="2309" max="2309" width="12.5546875" style="56" customWidth="1"/>
    <col min="2310" max="2310" width="12" style="56" customWidth="1"/>
    <col min="2311" max="2312" width="12.33203125" style="56" customWidth="1"/>
    <col min="2313" max="2314" width="12.44140625" style="56" customWidth="1"/>
    <col min="2315" max="2557" width="11.44140625" style="56"/>
    <col min="2558" max="2558" width="23" style="56" customWidth="1"/>
    <col min="2559" max="2559" width="12.88671875" style="56" customWidth="1"/>
    <col min="2560" max="2561" width="12.33203125" style="56" bestFit="1" customWidth="1"/>
    <col min="2562" max="2562" width="12.33203125" style="56" customWidth="1"/>
    <col min="2563" max="2564" width="12" style="56" customWidth="1"/>
    <col min="2565" max="2565" width="12.5546875" style="56" customWidth="1"/>
    <col min="2566" max="2566" width="12" style="56" customWidth="1"/>
    <col min="2567" max="2568" width="12.33203125" style="56" customWidth="1"/>
    <col min="2569" max="2570" width="12.44140625" style="56" customWidth="1"/>
    <col min="2571" max="2813" width="11.44140625" style="56"/>
    <col min="2814" max="2814" width="23" style="56" customWidth="1"/>
    <col min="2815" max="2815" width="12.88671875" style="56" customWidth="1"/>
    <col min="2816" max="2817" width="12.33203125" style="56" bestFit="1" customWidth="1"/>
    <col min="2818" max="2818" width="12.33203125" style="56" customWidth="1"/>
    <col min="2819" max="2820" width="12" style="56" customWidth="1"/>
    <col min="2821" max="2821" width="12.5546875" style="56" customWidth="1"/>
    <col min="2822" max="2822" width="12" style="56" customWidth="1"/>
    <col min="2823" max="2824" width="12.33203125" style="56" customWidth="1"/>
    <col min="2825" max="2826" width="12.44140625" style="56" customWidth="1"/>
    <col min="2827" max="3069" width="11.44140625" style="56"/>
    <col min="3070" max="3070" width="23" style="56" customWidth="1"/>
    <col min="3071" max="3071" width="12.88671875" style="56" customWidth="1"/>
    <col min="3072" max="3073" width="12.33203125" style="56" bestFit="1" customWidth="1"/>
    <col min="3074" max="3074" width="12.33203125" style="56" customWidth="1"/>
    <col min="3075" max="3076" width="12" style="56" customWidth="1"/>
    <col min="3077" max="3077" width="12.5546875" style="56" customWidth="1"/>
    <col min="3078" max="3078" width="12" style="56" customWidth="1"/>
    <col min="3079" max="3080" width="12.33203125" style="56" customWidth="1"/>
    <col min="3081" max="3082" width="12.44140625" style="56" customWidth="1"/>
    <col min="3083" max="3325" width="11.44140625" style="56"/>
    <col min="3326" max="3326" width="23" style="56" customWidth="1"/>
    <col min="3327" max="3327" width="12.88671875" style="56" customWidth="1"/>
    <col min="3328" max="3329" width="12.33203125" style="56" bestFit="1" customWidth="1"/>
    <col min="3330" max="3330" width="12.33203125" style="56" customWidth="1"/>
    <col min="3331" max="3332" width="12" style="56" customWidth="1"/>
    <col min="3333" max="3333" width="12.5546875" style="56" customWidth="1"/>
    <col min="3334" max="3334" width="12" style="56" customWidth="1"/>
    <col min="3335" max="3336" width="12.33203125" style="56" customWidth="1"/>
    <col min="3337" max="3338" width="12.44140625" style="56" customWidth="1"/>
    <col min="3339" max="3581" width="11.44140625" style="56"/>
    <col min="3582" max="3582" width="23" style="56" customWidth="1"/>
    <col min="3583" max="3583" width="12.88671875" style="56" customWidth="1"/>
    <col min="3584" max="3585" width="12.33203125" style="56" bestFit="1" customWidth="1"/>
    <col min="3586" max="3586" width="12.33203125" style="56" customWidth="1"/>
    <col min="3587" max="3588" width="12" style="56" customWidth="1"/>
    <col min="3589" max="3589" width="12.5546875" style="56" customWidth="1"/>
    <col min="3590" max="3590" width="12" style="56" customWidth="1"/>
    <col min="3591" max="3592" width="12.33203125" style="56" customWidth="1"/>
    <col min="3593" max="3594" width="12.44140625" style="56" customWidth="1"/>
    <col min="3595" max="3837" width="11.44140625" style="56"/>
    <col min="3838" max="3838" width="23" style="56" customWidth="1"/>
    <col min="3839" max="3839" width="12.88671875" style="56" customWidth="1"/>
    <col min="3840" max="3841" width="12.33203125" style="56" bestFit="1" customWidth="1"/>
    <col min="3842" max="3842" width="12.33203125" style="56" customWidth="1"/>
    <col min="3843" max="3844" width="12" style="56" customWidth="1"/>
    <col min="3845" max="3845" width="12.5546875" style="56" customWidth="1"/>
    <col min="3846" max="3846" width="12" style="56" customWidth="1"/>
    <col min="3847" max="3848" width="12.33203125" style="56" customWidth="1"/>
    <col min="3849" max="3850" width="12.44140625" style="56" customWidth="1"/>
    <col min="3851" max="4093" width="11.44140625" style="56"/>
    <col min="4094" max="4094" width="23" style="56" customWidth="1"/>
    <col min="4095" max="4095" width="12.88671875" style="56" customWidth="1"/>
    <col min="4096" max="4097" width="12.33203125" style="56" bestFit="1" customWidth="1"/>
    <col min="4098" max="4098" width="12.33203125" style="56" customWidth="1"/>
    <col min="4099" max="4100" width="12" style="56" customWidth="1"/>
    <col min="4101" max="4101" width="12.5546875" style="56" customWidth="1"/>
    <col min="4102" max="4102" width="12" style="56" customWidth="1"/>
    <col min="4103" max="4104" width="12.33203125" style="56" customWidth="1"/>
    <col min="4105" max="4106" width="12.44140625" style="56" customWidth="1"/>
    <col min="4107" max="4349" width="11.44140625" style="56"/>
    <col min="4350" max="4350" width="23" style="56" customWidth="1"/>
    <col min="4351" max="4351" width="12.88671875" style="56" customWidth="1"/>
    <col min="4352" max="4353" width="12.33203125" style="56" bestFit="1" customWidth="1"/>
    <col min="4354" max="4354" width="12.33203125" style="56" customWidth="1"/>
    <col min="4355" max="4356" width="12" style="56" customWidth="1"/>
    <col min="4357" max="4357" width="12.5546875" style="56" customWidth="1"/>
    <col min="4358" max="4358" width="12" style="56" customWidth="1"/>
    <col min="4359" max="4360" width="12.33203125" style="56" customWidth="1"/>
    <col min="4361" max="4362" width="12.44140625" style="56" customWidth="1"/>
    <col min="4363" max="4605" width="11.44140625" style="56"/>
    <col min="4606" max="4606" width="23" style="56" customWidth="1"/>
    <col min="4607" max="4607" width="12.88671875" style="56" customWidth="1"/>
    <col min="4608" max="4609" width="12.33203125" style="56" bestFit="1" customWidth="1"/>
    <col min="4610" max="4610" width="12.33203125" style="56" customWidth="1"/>
    <col min="4611" max="4612" width="12" style="56" customWidth="1"/>
    <col min="4613" max="4613" width="12.5546875" style="56" customWidth="1"/>
    <col min="4614" max="4614" width="12" style="56" customWidth="1"/>
    <col min="4615" max="4616" width="12.33203125" style="56" customWidth="1"/>
    <col min="4617" max="4618" width="12.44140625" style="56" customWidth="1"/>
    <col min="4619" max="4861" width="11.44140625" style="56"/>
    <col min="4862" max="4862" width="23" style="56" customWidth="1"/>
    <col min="4863" max="4863" width="12.88671875" style="56" customWidth="1"/>
    <col min="4864" max="4865" width="12.33203125" style="56" bestFit="1" customWidth="1"/>
    <col min="4866" max="4866" width="12.33203125" style="56" customWidth="1"/>
    <col min="4867" max="4868" width="12" style="56" customWidth="1"/>
    <col min="4869" max="4869" width="12.5546875" style="56" customWidth="1"/>
    <col min="4870" max="4870" width="12" style="56" customWidth="1"/>
    <col min="4871" max="4872" width="12.33203125" style="56" customWidth="1"/>
    <col min="4873" max="4874" width="12.44140625" style="56" customWidth="1"/>
    <col min="4875" max="5117" width="11.44140625" style="56"/>
    <col min="5118" max="5118" width="23" style="56" customWidth="1"/>
    <col min="5119" max="5119" width="12.88671875" style="56" customWidth="1"/>
    <col min="5120" max="5121" width="12.33203125" style="56" bestFit="1" customWidth="1"/>
    <col min="5122" max="5122" width="12.33203125" style="56" customWidth="1"/>
    <col min="5123" max="5124" width="12" style="56" customWidth="1"/>
    <col min="5125" max="5125" width="12.5546875" style="56" customWidth="1"/>
    <col min="5126" max="5126" width="12" style="56" customWidth="1"/>
    <col min="5127" max="5128" width="12.33203125" style="56" customWidth="1"/>
    <col min="5129" max="5130" width="12.44140625" style="56" customWidth="1"/>
    <col min="5131" max="5373" width="11.44140625" style="56"/>
    <col min="5374" max="5374" width="23" style="56" customWidth="1"/>
    <col min="5375" max="5375" width="12.88671875" style="56" customWidth="1"/>
    <col min="5376" max="5377" width="12.33203125" style="56" bestFit="1" customWidth="1"/>
    <col min="5378" max="5378" width="12.33203125" style="56" customWidth="1"/>
    <col min="5379" max="5380" width="12" style="56" customWidth="1"/>
    <col min="5381" max="5381" width="12.5546875" style="56" customWidth="1"/>
    <col min="5382" max="5382" width="12" style="56" customWidth="1"/>
    <col min="5383" max="5384" width="12.33203125" style="56" customWidth="1"/>
    <col min="5385" max="5386" width="12.44140625" style="56" customWidth="1"/>
    <col min="5387" max="5629" width="11.44140625" style="56"/>
    <col min="5630" max="5630" width="23" style="56" customWidth="1"/>
    <col min="5631" max="5631" width="12.88671875" style="56" customWidth="1"/>
    <col min="5632" max="5633" width="12.33203125" style="56" bestFit="1" customWidth="1"/>
    <col min="5634" max="5634" width="12.33203125" style="56" customWidth="1"/>
    <col min="5635" max="5636" width="12" style="56" customWidth="1"/>
    <col min="5637" max="5637" width="12.5546875" style="56" customWidth="1"/>
    <col min="5638" max="5638" width="12" style="56" customWidth="1"/>
    <col min="5639" max="5640" width="12.33203125" style="56" customWidth="1"/>
    <col min="5641" max="5642" width="12.44140625" style="56" customWidth="1"/>
    <col min="5643" max="5885" width="11.44140625" style="56"/>
    <col min="5886" max="5886" width="23" style="56" customWidth="1"/>
    <col min="5887" max="5887" width="12.88671875" style="56" customWidth="1"/>
    <col min="5888" max="5889" width="12.33203125" style="56" bestFit="1" customWidth="1"/>
    <col min="5890" max="5890" width="12.33203125" style="56" customWidth="1"/>
    <col min="5891" max="5892" width="12" style="56" customWidth="1"/>
    <col min="5893" max="5893" width="12.5546875" style="56" customWidth="1"/>
    <col min="5894" max="5894" width="12" style="56" customWidth="1"/>
    <col min="5895" max="5896" width="12.33203125" style="56" customWidth="1"/>
    <col min="5897" max="5898" width="12.44140625" style="56" customWidth="1"/>
    <col min="5899" max="6141" width="11.44140625" style="56"/>
    <col min="6142" max="6142" width="23" style="56" customWidth="1"/>
    <col min="6143" max="6143" width="12.88671875" style="56" customWidth="1"/>
    <col min="6144" max="6145" width="12.33203125" style="56" bestFit="1" customWidth="1"/>
    <col min="6146" max="6146" width="12.33203125" style="56" customWidth="1"/>
    <col min="6147" max="6148" width="12" style="56" customWidth="1"/>
    <col min="6149" max="6149" width="12.5546875" style="56" customWidth="1"/>
    <col min="6150" max="6150" width="12" style="56" customWidth="1"/>
    <col min="6151" max="6152" width="12.33203125" style="56" customWidth="1"/>
    <col min="6153" max="6154" width="12.44140625" style="56" customWidth="1"/>
    <col min="6155" max="6397" width="11.44140625" style="56"/>
    <col min="6398" max="6398" width="23" style="56" customWidth="1"/>
    <col min="6399" max="6399" width="12.88671875" style="56" customWidth="1"/>
    <col min="6400" max="6401" width="12.33203125" style="56" bestFit="1" customWidth="1"/>
    <col min="6402" max="6402" width="12.33203125" style="56" customWidth="1"/>
    <col min="6403" max="6404" width="12" style="56" customWidth="1"/>
    <col min="6405" max="6405" width="12.5546875" style="56" customWidth="1"/>
    <col min="6406" max="6406" width="12" style="56" customWidth="1"/>
    <col min="6407" max="6408" width="12.33203125" style="56" customWidth="1"/>
    <col min="6409" max="6410" width="12.44140625" style="56" customWidth="1"/>
    <col min="6411" max="6653" width="11.44140625" style="56"/>
    <col min="6654" max="6654" width="23" style="56" customWidth="1"/>
    <col min="6655" max="6655" width="12.88671875" style="56" customWidth="1"/>
    <col min="6656" max="6657" width="12.33203125" style="56" bestFit="1" customWidth="1"/>
    <col min="6658" max="6658" width="12.33203125" style="56" customWidth="1"/>
    <col min="6659" max="6660" width="12" style="56" customWidth="1"/>
    <col min="6661" max="6661" width="12.5546875" style="56" customWidth="1"/>
    <col min="6662" max="6662" width="12" style="56" customWidth="1"/>
    <col min="6663" max="6664" width="12.33203125" style="56" customWidth="1"/>
    <col min="6665" max="6666" width="12.44140625" style="56" customWidth="1"/>
    <col min="6667" max="6909" width="11.44140625" style="56"/>
    <col min="6910" max="6910" width="23" style="56" customWidth="1"/>
    <col min="6911" max="6911" width="12.88671875" style="56" customWidth="1"/>
    <col min="6912" max="6913" width="12.33203125" style="56" bestFit="1" customWidth="1"/>
    <col min="6914" max="6914" width="12.33203125" style="56" customWidth="1"/>
    <col min="6915" max="6916" width="12" style="56" customWidth="1"/>
    <col min="6917" max="6917" width="12.5546875" style="56" customWidth="1"/>
    <col min="6918" max="6918" width="12" style="56" customWidth="1"/>
    <col min="6919" max="6920" width="12.33203125" style="56" customWidth="1"/>
    <col min="6921" max="6922" width="12.44140625" style="56" customWidth="1"/>
    <col min="6923" max="7165" width="11.44140625" style="56"/>
    <col min="7166" max="7166" width="23" style="56" customWidth="1"/>
    <col min="7167" max="7167" width="12.88671875" style="56" customWidth="1"/>
    <col min="7168" max="7169" width="12.33203125" style="56" bestFit="1" customWidth="1"/>
    <col min="7170" max="7170" width="12.33203125" style="56" customWidth="1"/>
    <col min="7171" max="7172" width="12" style="56" customWidth="1"/>
    <col min="7173" max="7173" width="12.5546875" style="56" customWidth="1"/>
    <col min="7174" max="7174" width="12" style="56" customWidth="1"/>
    <col min="7175" max="7176" width="12.33203125" style="56" customWidth="1"/>
    <col min="7177" max="7178" width="12.44140625" style="56" customWidth="1"/>
    <col min="7179" max="7421" width="11.44140625" style="56"/>
    <col min="7422" max="7422" width="23" style="56" customWidth="1"/>
    <col min="7423" max="7423" width="12.88671875" style="56" customWidth="1"/>
    <col min="7424" max="7425" width="12.33203125" style="56" bestFit="1" customWidth="1"/>
    <col min="7426" max="7426" width="12.33203125" style="56" customWidth="1"/>
    <col min="7427" max="7428" width="12" style="56" customWidth="1"/>
    <col min="7429" max="7429" width="12.5546875" style="56" customWidth="1"/>
    <col min="7430" max="7430" width="12" style="56" customWidth="1"/>
    <col min="7431" max="7432" width="12.33203125" style="56" customWidth="1"/>
    <col min="7433" max="7434" width="12.44140625" style="56" customWidth="1"/>
    <col min="7435" max="7677" width="11.44140625" style="56"/>
    <col min="7678" max="7678" width="23" style="56" customWidth="1"/>
    <col min="7679" max="7679" width="12.88671875" style="56" customWidth="1"/>
    <col min="7680" max="7681" width="12.33203125" style="56" bestFit="1" customWidth="1"/>
    <col min="7682" max="7682" width="12.33203125" style="56" customWidth="1"/>
    <col min="7683" max="7684" width="12" style="56" customWidth="1"/>
    <col min="7685" max="7685" width="12.5546875" style="56" customWidth="1"/>
    <col min="7686" max="7686" width="12" style="56" customWidth="1"/>
    <col min="7687" max="7688" width="12.33203125" style="56" customWidth="1"/>
    <col min="7689" max="7690" width="12.44140625" style="56" customWidth="1"/>
    <col min="7691" max="7933" width="11.44140625" style="56"/>
    <col min="7934" max="7934" width="23" style="56" customWidth="1"/>
    <col min="7935" max="7935" width="12.88671875" style="56" customWidth="1"/>
    <col min="7936" max="7937" width="12.33203125" style="56" bestFit="1" customWidth="1"/>
    <col min="7938" max="7938" width="12.33203125" style="56" customWidth="1"/>
    <col min="7939" max="7940" width="12" style="56" customWidth="1"/>
    <col min="7941" max="7941" width="12.5546875" style="56" customWidth="1"/>
    <col min="7942" max="7942" width="12" style="56" customWidth="1"/>
    <col min="7943" max="7944" width="12.33203125" style="56" customWidth="1"/>
    <col min="7945" max="7946" width="12.44140625" style="56" customWidth="1"/>
    <col min="7947" max="8189" width="11.44140625" style="56"/>
    <col min="8190" max="8190" width="23" style="56" customWidth="1"/>
    <col min="8191" max="8191" width="12.88671875" style="56" customWidth="1"/>
    <col min="8192" max="8193" width="12.33203125" style="56" bestFit="1" customWidth="1"/>
    <col min="8194" max="8194" width="12.33203125" style="56" customWidth="1"/>
    <col min="8195" max="8196" width="12" style="56" customWidth="1"/>
    <col min="8197" max="8197" width="12.5546875" style="56" customWidth="1"/>
    <col min="8198" max="8198" width="12" style="56" customWidth="1"/>
    <col min="8199" max="8200" width="12.33203125" style="56" customWidth="1"/>
    <col min="8201" max="8202" width="12.44140625" style="56" customWidth="1"/>
    <col min="8203" max="8445" width="11.44140625" style="56"/>
    <col min="8446" max="8446" width="23" style="56" customWidth="1"/>
    <col min="8447" max="8447" width="12.88671875" style="56" customWidth="1"/>
    <col min="8448" max="8449" width="12.33203125" style="56" bestFit="1" customWidth="1"/>
    <col min="8450" max="8450" width="12.33203125" style="56" customWidth="1"/>
    <col min="8451" max="8452" width="12" style="56" customWidth="1"/>
    <col min="8453" max="8453" width="12.5546875" style="56" customWidth="1"/>
    <col min="8454" max="8454" width="12" style="56" customWidth="1"/>
    <col min="8455" max="8456" width="12.33203125" style="56" customWidth="1"/>
    <col min="8457" max="8458" width="12.44140625" style="56" customWidth="1"/>
    <col min="8459" max="8701" width="11.44140625" style="56"/>
    <col min="8702" max="8702" width="23" style="56" customWidth="1"/>
    <col min="8703" max="8703" width="12.88671875" style="56" customWidth="1"/>
    <col min="8704" max="8705" width="12.33203125" style="56" bestFit="1" customWidth="1"/>
    <col min="8706" max="8706" width="12.33203125" style="56" customWidth="1"/>
    <col min="8707" max="8708" width="12" style="56" customWidth="1"/>
    <col min="8709" max="8709" width="12.5546875" style="56" customWidth="1"/>
    <col min="8710" max="8710" width="12" style="56" customWidth="1"/>
    <col min="8711" max="8712" width="12.33203125" style="56" customWidth="1"/>
    <col min="8713" max="8714" width="12.44140625" style="56" customWidth="1"/>
    <col min="8715" max="8957" width="11.44140625" style="56"/>
    <col min="8958" max="8958" width="23" style="56" customWidth="1"/>
    <col min="8959" max="8959" width="12.88671875" style="56" customWidth="1"/>
    <col min="8960" max="8961" width="12.33203125" style="56" bestFit="1" customWidth="1"/>
    <col min="8962" max="8962" width="12.33203125" style="56" customWidth="1"/>
    <col min="8963" max="8964" width="12" style="56" customWidth="1"/>
    <col min="8965" max="8965" width="12.5546875" style="56" customWidth="1"/>
    <col min="8966" max="8966" width="12" style="56" customWidth="1"/>
    <col min="8967" max="8968" width="12.33203125" style="56" customWidth="1"/>
    <col min="8969" max="8970" width="12.44140625" style="56" customWidth="1"/>
    <col min="8971" max="9213" width="11.44140625" style="56"/>
    <col min="9214" max="9214" width="23" style="56" customWidth="1"/>
    <col min="9215" max="9215" width="12.88671875" style="56" customWidth="1"/>
    <col min="9216" max="9217" width="12.33203125" style="56" bestFit="1" customWidth="1"/>
    <col min="9218" max="9218" width="12.33203125" style="56" customWidth="1"/>
    <col min="9219" max="9220" width="12" style="56" customWidth="1"/>
    <col min="9221" max="9221" width="12.5546875" style="56" customWidth="1"/>
    <col min="9222" max="9222" width="12" style="56" customWidth="1"/>
    <col min="9223" max="9224" width="12.33203125" style="56" customWidth="1"/>
    <col min="9225" max="9226" width="12.44140625" style="56" customWidth="1"/>
    <col min="9227" max="9469" width="11.44140625" style="56"/>
    <col min="9470" max="9470" width="23" style="56" customWidth="1"/>
    <col min="9471" max="9471" width="12.88671875" style="56" customWidth="1"/>
    <col min="9472" max="9473" width="12.33203125" style="56" bestFit="1" customWidth="1"/>
    <col min="9474" max="9474" width="12.33203125" style="56" customWidth="1"/>
    <col min="9475" max="9476" width="12" style="56" customWidth="1"/>
    <col min="9477" max="9477" width="12.5546875" style="56" customWidth="1"/>
    <col min="9478" max="9478" width="12" style="56" customWidth="1"/>
    <col min="9479" max="9480" width="12.33203125" style="56" customWidth="1"/>
    <col min="9481" max="9482" width="12.44140625" style="56" customWidth="1"/>
    <col min="9483" max="9725" width="11.44140625" style="56"/>
    <col min="9726" max="9726" width="23" style="56" customWidth="1"/>
    <col min="9727" max="9727" width="12.88671875" style="56" customWidth="1"/>
    <col min="9728" max="9729" width="12.33203125" style="56" bestFit="1" customWidth="1"/>
    <col min="9730" max="9730" width="12.33203125" style="56" customWidth="1"/>
    <col min="9731" max="9732" width="12" style="56" customWidth="1"/>
    <col min="9733" max="9733" width="12.5546875" style="56" customWidth="1"/>
    <col min="9734" max="9734" width="12" style="56" customWidth="1"/>
    <col min="9735" max="9736" width="12.33203125" style="56" customWidth="1"/>
    <col min="9737" max="9738" width="12.44140625" style="56" customWidth="1"/>
    <col min="9739" max="9981" width="11.44140625" style="56"/>
    <col min="9982" max="9982" width="23" style="56" customWidth="1"/>
    <col min="9983" max="9983" width="12.88671875" style="56" customWidth="1"/>
    <col min="9984" max="9985" width="12.33203125" style="56" bestFit="1" customWidth="1"/>
    <col min="9986" max="9986" width="12.33203125" style="56" customWidth="1"/>
    <col min="9987" max="9988" width="12" style="56" customWidth="1"/>
    <col min="9989" max="9989" width="12.5546875" style="56" customWidth="1"/>
    <col min="9990" max="9990" width="12" style="56" customWidth="1"/>
    <col min="9991" max="9992" width="12.33203125" style="56" customWidth="1"/>
    <col min="9993" max="9994" width="12.44140625" style="56" customWidth="1"/>
    <col min="9995" max="10237" width="11.44140625" style="56"/>
    <col min="10238" max="10238" width="23" style="56" customWidth="1"/>
    <col min="10239" max="10239" width="12.88671875" style="56" customWidth="1"/>
    <col min="10240" max="10241" width="12.33203125" style="56" bestFit="1" customWidth="1"/>
    <col min="10242" max="10242" width="12.33203125" style="56" customWidth="1"/>
    <col min="10243" max="10244" width="12" style="56" customWidth="1"/>
    <col min="10245" max="10245" width="12.5546875" style="56" customWidth="1"/>
    <col min="10246" max="10246" width="12" style="56" customWidth="1"/>
    <col min="10247" max="10248" width="12.33203125" style="56" customWidth="1"/>
    <col min="10249" max="10250" width="12.44140625" style="56" customWidth="1"/>
    <col min="10251" max="10493" width="11.44140625" style="56"/>
    <col min="10494" max="10494" width="23" style="56" customWidth="1"/>
    <col min="10495" max="10495" width="12.88671875" style="56" customWidth="1"/>
    <col min="10496" max="10497" width="12.33203125" style="56" bestFit="1" customWidth="1"/>
    <col min="10498" max="10498" width="12.33203125" style="56" customWidth="1"/>
    <col min="10499" max="10500" width="12" style="56" customWidth="1"/>
    <col min="10501" max="10501" width="12.5546875" style="56" customWidth="1"/>
    <col min="10502" max="10502" width="12" style="56" customWidth="1"/>
    <col min="10503" max="10504" width="12.33203125" style="56" customWidth="1"/>
    <col min="10505" max="10506" width="12.44140625" style="56" customWidth="1"/>
    <col min="10507" max="10749" width="11.44140625" style="56"/>
    <col min="10750" max="10750" width="23" style="56" customWidth="1"/>
    <col min="10751" max="10751" width="12.88671875" style="56" customWidth="1"/>
    <col min="10752" max="10753" width="12.33203125" style="56" bestFit="1" customWidth="1"/>
    <col min="10754" max="10754" width="12.33203125" style="56" customWidth="1"/>
    <col min="10755" max="10756" width="12" style="56" customWidth="1"/>
    <col min="10757" max="10757" width="12.5546875" style="56" customWidth="1"/>
    <col min="10758" max="10758" width="12" style="56" customWidth="1"/>
    <col min="10759" max="10760" width="12.33203125" style="56" customWidth="1"/>
    <col min="10761" max="10762" width="12.44140625" style="56" customWidth="1"/>
    <col min="10763" max="11005" width="11.44140625" style="56"/>
    <col min="11006" max="11006" width="23" style="56" customWidth="1"/>
    <col min="11007" max="11007" width="12.88671875" style="56" customWidth="1"/>
    <col min="11008" max="11009" width="12.33203125" style="56" bestFit="1" customWidth="1"/>
    <col min="11010" max="11010" width="12.33203125" style="56" customWidth="1"/>
    <col min="11011" max="11012" width="12" style="56" customWidth="1"/>
    <col min="11013" max="11013" width="12.5546875" style="56" customWidth="1"/>
    <col min="11014" max="11014" width="12" style="56" customWidth="1"/>
    <col min="11015" max="11016" width="12.33203125" style="56" customWidth="1"/>
    <col min="11017" max="11018" width="12.44140625" style="56" customWidth="1"/>
    <col min="11019" max="11261" width="11.44140625" style="56"/>
    <col min="11262" max="11262" width="23" style="56" customWidth="1"/>
    <col min="11263" max="11263" width="12.88671875" style="56" customWidth="1"/>
    <col min="11264" max="11265" width="12.33203125" style="56" bestFit="1" customWidth="1"/>
    <col min="11266" max="11266" width="12.33203125" style="56" customWidth="1"/>
    <col min="11267" max="11268" width="12" style="56" customWidth="1"/>
    <col min="11269" max="11269" width="12.5546875" style="56" customWidth="1"/>
    <col min="11270" max="11270" width="12" style="56" customWidth="1"/>
    <col min="11271" max="11272" width="12.33203125" style="56" customWidth="1"/>
    <col min="11273" max="11274" width="12.44140625" style="56" customWidth="1"/>
    <col min="11275" max="11517" width="11.44140625" style="56"/>
    <col min="11518" max="11518" width="23" style="56" customWidth="1"/>
    <col min="11519" max="11519" width="12.88671875" style="56" customWidth="1"/>
    <col min="11520" max="11521" width="12.33203125" style="56" bestFit="1" customWidth="1"/>
    <col min="11522" max="11522" width="12.33203125" style="56" customWidth="1"/>
    <col min="11523" max="11524" width="12" style="56" customWidth="1"/>
    <col min="11525" max="11525" width="12.5546875" style="56" customWidth="1"/>
    <col min="11526" max="11526" width="12" style="56" customWidth="1"/>
    <col min="11527" max="11528" width="12.33203125" style="56" customWidth="1"/>
    <col min="11529" max="11530" width="12.44140625" style="56" customWidth="1"/>
    <col min="11531" max="11773" width="11.44140625" style="56"/>
    <col min="11774" max="11774" width="23" style="56" customWidth="1"/>
    <col min="11775" max="11775" width="12.88671875" style="56" customWidth="1"/>
    <col min="11776" max="11777" width="12.33203125" style="56" bestFit="1" customWidth="1"/>
    <col min="11778" max="11778" width="12.33203125" style="56" customWidth="1"/>
    <col min="11779" max="11780" width="12" style="56" customWidth="1"/>
    <col min="11781" max="11781" width="12.5546875" style="56" customWidth="1"/>
    <col min="11782" max="11782" width="12" style="56" customWidth="1"/>
    <col min="11783" max="11784" width="12.33203125" style="56" customWidth="1"/>
    <col min="11785" max="11786" width="12.44140625" style="56" customWidth="1"/>
    <col min="11787" max="12029" width="11.44140625" style="56"/>
    <col min="12030" max="12030" width="23" style="56" customWidth="1"/>
    <col min="12031" max="12031" width="12.88671875" style="56" customWidth="1"/>
    <col min="12032" max="12033" width="12.33203125" style="56" bestFit="1" customWidth="1"/>
    <col min="12034" max="12034" width="12.33203125" style="56" customWidth="1"/>
    <col min="12035" max="12036" width="12" style="56" customWidth="1"/>
    <col min="12037" max="12037" width="12.5546875" style="56" customWidth="1"/>
    <col min="12038" max="12038" width="12" style="56" customWidth="1"/>
    <col min="12039" max="12040" width="12.33203125" style="56" customWidth="1"/>
    <col min="12041" max="12042" width="12.44140625" style="56" customWidth="1"/>
    <col min="12043" max="12285" width="11.44140625" style="56"/>
    <col min="12286" max="12286" width="23" style="56" customWidth="1"/>
    <col min="12287" max="12287" width="12.88671875" style="56" customWidth="1"/>
    <col min="12288" max="12289" width="12.33203125" style="56" bestFit="1" customWidth="1"/>
    <col min="12290" max="12290" width="12.33203125" style="56" customWidth="1"/>
    <col min="12291" max="12292" width="12" style="56" customWidth="1"/>
    <col min="12293" max="12293" width="12.5546875" style="56" customWidth="1"/>
    <col min="12294" max="12294" width="12" style="56" customWidth="1"/>
    <col min="12295" max="12296" width="12.33203125" style="56" customWidth="1"/>
    <col min="12297" max="12298" width="12.44140625" style="56" customWidth="1"/>
    <col min="12299" max="12541" width="11.44140625" style="56"/>
    <col min="12542" max="12542" width="23" style="56" customWidth="1"/>
    <col min="12543" max="12543" width="12.88671875" style="56" customWidth="1"/>
    <col min="12544" max="12545" width="12.33203125" style="56" bestFit="1" customWidth="1"/>
    <col min="12546" max="12546" width="12.33203125" style="56" customWidth="1"/>
    <col min="12547" max="12548" width="12" style="56" customWidth="1"/>
    <col min="12549" max="12549" width="12.5546875" style="56" customWidth="1"/>
    <col min="12550" max="12550" width="12" style="56" customWidth="1"/>
    <col min="12551" max="12552" width="12.33203125" style="56" customWidth="1"/>
    <col min="12553" max="12554" width="12.44140625" style="56" customWidth="1"/>
    <col min="12555" max="12797" width="11.44140625" style="56"/>
    <col min="12798" max="12798" width="23" style="56" customWidth="1"/>
    <col min="12799" max="12799" width="12.88671875" style="56" customWidth="1"/>
    <col min="12800" max="12801" width="12.33203125" style="56" bestFit="1" customWidth="1"/>
    <col min="12802" max="12802" width="12.33203125" style="56" customWidth="1"/>
    <col min="12803" max="12804" width="12" style="56" customWidth="1"/>
    <col min="12805" max="12805" width="12.5546875" style="56" customWidth="1"/>
    <col min="12806" max="12806" width="12" style="56" customWidth="1"/>
    <col min="12807" max="12808" width="12.33203125" style="56" customWidth="1"/>
    <col min="12809" max="12810" width="12.44140625" style="56" customWidth="1"/>
    <col min="12811" max="13053" width="11.44140625" style="56"/>
    <col min="13054" max="13054" width="23" style="56" customWidth="1"/>
    <col min="13055" max="13055" width="12.88671875" style="56" customWidth="1"/>
    <col min="13056" max="13057" width="12.33203125" style="56" bestFit="1" customWidth="1"/>
    <col min="13058" max="13058" width="12.33203125" style="56" customWidth="1"/>
    <col min="13059" max="13060" width="12" style="56" customWidth="1"/>
    <col min="13061" max="13061" width="12.5546875" style="56" customWidth="1"/>
    <col min="13062" max="13062" width="12" style="56" customWidth="1"/>
    <col min="13063" max="13064" width="12.33203125" style="56" customWidth="1"/>
    <col min="13065" max="13066" width="12.44140625" style="56" customWidth="1"/>
    <col min="13067" max="13309" width="11.44140625" style="56"/>
    <col min="13310" max="13310" width="23" style="56" customWidth="1"/>
    <col min="13311" max="13311" width="12.88671875" style="56" customWidth="1"/>
    <col min="13312" max="13313" width="12.33203125" style="56" bestFit="1" customWidth="1"/>
    <col min="13314" max="13314" width="12.33203125" style="56" customWidth="1"/>
    <col min="13315" max="13316" width="12" style="56" customWidth="1"/>
    <col min="13317" max="13317" width="12.5546875" style="56" customWidth="1"/>
    <col min="13318" max="13318" width="12" style="56" customWidth="1"/>
    <col min="13319" max="13320" width="12.33203125" style="56" customWidth="1"/>
    <col min="13321" max="13322" width="12.44140625" style="56" customWidth="1"/>
    <col min="13323" max="13565" width="11.44140625" style="56"/>
    <col min="13566" max="13566" width="23" style="56" customWidth="1"/>
    <col min="13567" max="13567" width="12.88671875" style="56" customWidth="1"/>
    <col min="13568" max="13569" width="12.33203125" style="56" bestFit="1" customWidth="1"/>
    <col min="13570" max="13570" width="12.33203125" style="56" customWidth="1"/>
    <col min="13571" max="13572" width="12" style="56" customWidth="1"/>
    <col min="13573" max="13573" width="12.5546875" style="56" customWidth="1"/>
    <col min="13574" max="13574" width="12" style="56" customWidth="1"/>
    <col min="13575" max="13576" width="12.33203125" style="56" customWidth="1"/>
    <col min="13577" max="13578" width="12.44140625" style="56" customWidth="1"/>
    <col min="13579" max="13821" width="11.44140625" style="56"/>
    <col min="13822" max="13822" width="23" style="56" customWidth="1"/>
    <col min="13823" max="13823" width="12.88671875" style="56" customWidth="1"/>
    <col min="13824" max="13825" width="12.33203125" style="56" bestFit="1" customWidth="1"/>
    <col min="13826" max="13826" width="12.33203125" style="56" customWidth="1"/>
    <col min="13827" max="13828" width="12" style="56" customWidth="1"/>
    <col min="13829" max="13829" width="12.5546875" style="56" customWidth="1"/>
    <col min="13830" max="13830" width="12" style="56" customWidth="1"/>
    <col min="13831" max="13832" width="12.33203125" style="56" customWidth="1"/>
    <col min="13833" max="13834" width="12.44140625" style="56" customWidth="1"/>
    <col min="13835" max="14077" width="11.44140625" style="56"/>
    <col min="14078" max="14078" width="23" style="56" customWidth="1"/>
    <col min="14079" max="14079" width="12.88671875" style="56" customWidth="1"/>
    <col min="14080" max="14081" width="12.33203125" style="56" bestFit="1" customWidth="1"/>
    <col min="14082" max="14082" width="12.33203125" style="56" customWidth="1"/>
    <col min="14083" max="14084" width="12" style="56" customWidth="1"/>
    <col min="14085" max="14085" width="12.5546875" style="56" customWidth="1"/>
    <col min="14086" max="14086" width="12" style="56" customWidth="1"/>
    <col min="14087" max="14088" width="12.33203125" style="56" customWidth="1"/>
    <col min="14089" max="14090" width="12.44140625" style="56" customWidth="1"/>
    <col min="14091" max="14333" width="11.44140625" style="56"/>
    <col min="14334" max="14334" width="23" style="56" customWidth="1"/>
    <col min="14335" max="14335" width="12.88671875" style="56" customWidth="1"/>
    <col min="14336" max="14337" width="12.33203125" style="56" bestFit="1" customWidth="1"/>
    <col min="14338" max="14338" width="12.33203125" style="56" customWidth="1"/>
    <col min="14339" max="14340" width="12" style="56" customWidth="1"/>
    <col min="14341" max="14341" width="12.5546875" style="56" customWidth="1"/>
    <col min="14342" max="14342" width="12" style="56" customWidth="1"/>
    <col min="14343" max="14344" width="12.33203125" style="56" customWidth="1"/>
    <col min="14345" max="14346" width="12.44140625" style="56" customWidth="1"/>
    <col min="14347" max="14589" width="11.44140625" style="56"/>
    <col min="14590" max="14590" width="23" style="56" customWidth="1"/>
    <col min="14591" max="14591" width="12.88671875" style="56" customWidth="1"/>
    <col min="14592" max="14593" width="12.33203125" style="56" bestFit="1" customWidth="1"/>
    <col min="14594" max="14594" width="12.33203125" style="56" customWidth="1"/>
    <col min="14595" max="14596" width="12" style="56" customWidth="1"/>
    <col min="14597" max="14597" width="12.5546875" style="56" customWidth="1"/>
    <col min="14598" max="14598" width="12" style="56" customWidth="1"/>
    <col min="14599" max="14600" width="12.33203125" style="56" customWidth="1"/>
    <col min="14601" max="14602" width="12.44140625" style="56" customWidth="1"/>
    <col min="14603" max="14845" width="11.44140625" style="56"/>
    <col min="14846" max="14846" width="23" style="56" customWidth="1"/>
    <col min="14847" max="14847" width="12.88671875" style="56" customWidth="1"/>
    <col min="14848" max="14849" width="12.33203125" style="56" bestFit="1" customWidth="1"/>
    <col min="14850" max="14850" width="12.33203125" style="56" customWidth="1"/>
    <col min="14851" max="14852" width="12" style="56" customWidth="1"/>
    <col min="14853" max="14853" width="12.5546875" style="56" customWidth="1"/>
    <col min="14854" max="14854" width="12" style="56" customWidth="1"/>
    <col min="14855" max="14856" width="12.33203125" style="56" customWidth="1"/>
    <col min="14857" max="14858" width="12.44140625" style="56" customWidth="1"/>
    <col min="14859" max="15101" width="11.44140625" style="56"/>
    <col min="15102" max="15102" width="23" style="56" customWidth="1"/>
    <col min="15103" max="15103" width="12.88671875" style="56" customWidth="1"/>
    <col min="15104" max="15105" width="12.33203125" style="56" bestFit="1" customWidth="1"/>
    <col min="15106" max="15106" width="12.33203125" style="56" customWidth="1"/>
    <col min="15107" max="15108" width="12" style="56" customWidth="1"/>
    <col min="15109" max="15109" width="12.5546875" style="56" customWidth="1"/>
    <col min="15110" max="15110" width="12" style="56" customWidth="1"/>
    <col min="15111" max="15112" width="12.33203125" style="56" customWidth="1"/>
    <col min="15113" max="15114" width="12.44140625" style="56" customWidth="1"/>
    <col min="15115" max="15357" width="11.44140625" style="56"/>
    <col min="15358" max="15358" width="23" style="56" customWidth="1"/>
    <col min="15359" max="15359" width="12.88671875" style="56" customWidth="1"/>
    <col min="15360" max="15361" width="12.33203125" style="56" bestFit="1" customWidth="1"/>
    <col min="15362" max="15362" width="12.33203125" style="56" customWidth="1"/>
    <col min="15363" max="15364" width="12" style="56" customWidth="1"/>
    <col min="15365" max="15365" width="12.5546875" style="56" customWidth="1"/>
    <col min="15366" max="15366" width="12" style="56" customWidth="1"/>
    <col min="15367" max="15368" width="12.33203125" style="56" customWidth="1"/>
    <col min="15369" max="15370" width="12.44140625" style="56" customWidth="1"/>
    <col min="15371" max="15613" width="11.44140625" style="56"/>
    <col min="15614" max="15614" width="23" style="56" customWidth="1"/>
    <col min="15615" max="15615" width="12.88671875" style="56" customWidth="1"/>
    <col min="15616" max="15617" width="12.33203125" style="56" bestFit="1" customWidth="1"/>
    <col min="15618" max="15618" width="12.33203125" style="56" customWidth="1"/>
    <col min="15619" max="15620" width="12" style="56" customWidth="1"/>
    <col min="15621" max="15621" width="12.5546875" style="56" customWidth="1"/>
    <col min="15622" max="15622" width="12" style="56" customWidth="1"/>
    <col min="15623" max="15624" width="12.33203125" style="56" customWidth="1"/>
    <col min="15625" max="15626" width="12.44140625" style="56" customWidth="1"/>
    <col min="15627" max="15869" width="11.44140625" style="56"/>
    <col min="15870" max="15870" width="23" style="56" customWidth="1"/>
    <col min="15871" max="15871" width="12.88671875" style="56" customWidth="1"/>
    <col min="15872" max="15873" width="12.33203125" style="56" bestFit="1" customWidth="1"/>
    <col min="15874" max="15874" width="12.33203125" style="56" customWidth="1"/>
    <col min="15875" max="15876" width="12" style="56" customWidth="1"/>
    <col min="15877" max="15877" width="12.5546875" style="56" customWidth="1"/>
    <col min="15878" max="15878" width="12" style="56" customWidth="1"/>
    <col min="15879" max="15880" width="12.33203125" style="56" customWidth="1"/>
    <col min="15881" max="15882" width="12.44140625" style="56" customWidth="1"/>
    <col min="15883" max="16125" width="11.44140625" style="56"/>
    <col min="16126" max="16126" width="23" style="56" customWidth="1"/>
    <col min="16127" max="16127" width="12.88671875" style="56" customWidth="1"/>
    <col min="16128" max="16129" width="12.33203125" style="56" bestFit="1" customWidth="1"/>
    <col min="16130" max="16130" width="12.33203125" style="56" customWidth="1"/>
    <col min="16131" max="16132" width="12" style="56" customWidth="1"/>
    <col min="16133" max="16133" width="12.5546875" style="56" customWidth="1"/>
    <col min="16134" max="16134" width="12" style="56" customWidth="1"/>
    <col min="16135" max="16136" width="12.33203125" style="56" customWidth="1"/>
    <col min="16137" max="16138" width="12.44140625" style="56" customWidth="1"/>
    <col min="16139" max="16384" width="11.44140625" style="56"/>
  </cols>
  <sheetData>
    <row r="1" spans="3:14" ht="19.95" customHeight="1" x14ac:dyDescent="0.25">
      <c r="C1" s="353" t="s">
        <v>295</v>
      </c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3" spans="3:14" ht="16.95" customHeight="1" x14ac:dyDescent="0.25">
      <c r="C3" s="129" t="s">
        <v>38</v>
      </c>
      <c r="D3" s="130">
        <v>0.4</v>
      </c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3:14" ht="16.95" customHeight="1" x14ac:dyDescent="0.25">
      <c r="C4" s="129" t="s">
        <v>25</v>
      </c>
      <c r="D4" s="130">
        <v>0.1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3:14" x14ac:dyDescent="0.2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3:14" ht="15" customHeight="1" x14ac:dyDescent="0.25">
      <c r="C6" s="374" t="s">
        <v>148</v>
      </c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6"/>
    </row>
    <row r="7" spans="3:14" ht="15" customHeight="1" x14ac:dyDescent="0.25">
      <c r="C7" s="308" t="s">
        <v>37</v>
      </c>
      <c r="D7" s="309" t="s">
        <v>1</v>
      </c>
      <c r="E7" s="309" t="s">
        <v>2</v>
      </c>
      <c r="F7" s="309" t="s">
        <v>13</v>
      </c>
      <c r="G7" s="309" t="s">
        <v>14</v>
      </c>
      <c r="H7" s="309" t="s">
        <v>15</v>
      </c>
      <c r="I7" s="309" t="s">
        <v>16</v>
      </c>
      <c r="J7" s="309" t="s">
        <v>17</v>
      </c>
      <c r="K7" s="309" t="s">
        <v>18</v>
      </c>
      <c r="L7" s="309" t="s">
        <v>19</v>
      </c>
      <c r="M7" s="309" t="s">
        <v>20</v>
      </c>
      <c r="N7" s="310" t="s">
        <v>21</v>
      </c>
    </row>
    <row r="8" spans="3:14" ht="15" customHeight="1" x14ac:dyDescent="0.25">
      <c r="C8" s="50" t="s">
        <v>93</v>
      </c>
      <c r="D8" s="122"/>
      <c r="E8" s="122">
        <v>-985000</v>
      </c>
      <c r="F8" s="122">
        <f>+E8</f>
        <v>-985000</v>
      </c>
      <c r="G8" s="122">
        <f t="shared" ref="G8:N8" si="0">+F8</f>
        <v>-985000</v>
      </c>
      <c r="H8" s="122">
        <f t="shared" si="0"/>
        <v>-985000</v>
      </c>
      <c r="I8" s="122">
        <f t="shared" si="0"/>
        <v>-985000</v>
      </c>
      <c r="J8" s="122">
        <f t="shared" si="0"/>
        <v>-985000</v>
      </c>
      <c r="K8" s="122">
        <f t="shared" si="0"/>
        <v>-985000</v>
      </c>
      <c r="L8" s="122">
        <f t="shared" si="0"/>
        <v>-985000</v>
      </c>
      <c r="M8" s="122">
        <f t="shared" si="0"/>
        <v>-985000</v>
      </c>
      <c r="N8" s="242">
        <f t="shared" si="0"/>
        <v>-985000</v>
      </c>
    </row>
    <row r="9" spans="3:14" ht="15" customHeight="1" x14ac:dyDescent="0.25">
      <c r="C9" s="50" t="s">
        <v>30</v>
      </c>
      <c r="D9" s="122"/>
      <c r="E9" s="122">
        <f>+$D$19*0.2</f>
        <v>-90000</v>
      </c>
      <c r="F9" s="122">
        <f>+$D$19*0.2</f>
        <v>-90000</v>
      </c>
      <c r="G9" s="122">
        <f>+$D$19*0.2</f>
        <v>-90000</v>
      </c>
      <c r="H9" s="122">
        <f>+$D$19*0.2</f>
        <v>-90000</v>
      </c>
      <c r="I9" s="122">
        <f>+$D$19*0.2</f>
        <v>-90000</v>
      </c>
      <c r="J9" s="122"/>
      <c r="K9" s="122"/>
      <c r="L9" s="122"/>
      <c r="M9" s="122"/>
      <c r="N9" s="242"/>
    </row>
    <row r="10" spans="3:14" ht="15" customHeight="1" x14ac:dyDescent="0.25">
      <c r="C10" s="50" t="s">
        <v>149</v>
      </c>
      <c r="D10" s="122">
        <v>-160000</v>
      </c>
      <c r="E10" s="122"/>
      <c r="F10" s="122"/>
      <c r="G10" s="122"/>
      <c r="H10" s="122"/>
      <c r="I10" s="122"/>
      <c r="J10" s="122"/>
      <c r="K10" s="122"/>
      <c r="L10" s="122"/>
      <c r="M10" s="122"/>
      <c r="N10" s="242"/>
    </row>
    <row r="11" spans="3:14" ht="15" customHeight="1" x14ac:dyDescent="0.25">
      <c r="C11" s="50" t="s">
        <v>4</v>
      </c>
      <c r="D11" s="122">
        <f>-(D10)*$D$3</f>
        <v>64000</v>
      </c>
      <c r="E11" s="122">
        <f>-(E8+E9)*$D$3</f>
        <v>430000</v>
      </c>
      <c r="F11" s="122">
        <f t="shared" ref="F11:N11" si="1">-(F8+F9)*$D$3</f>
        <v>430000</v>
      </c>
      <c r="G11" s="122">
        <f t="shared" si="1"/>
        <v>430000</v>
      </c>
      <c r="H11" s="122">
        <f t="shared" si="1"/>
        <v>430000</v>
      </c>
      <c r="I11" s="122">
        <f t="shared" si="1"/>
        <v>430000</v>
      </c>
      <c r="J11" s="122">
        <f t="shared" si="1"/>
        <v>394000</v>
      </c>
      <c r="K11" s="122">
        <f t="shared" si="1"/>
        <v>394000</v>
      </c>
      <c r="L11" s="122">
        <f t="shared" si="1"/>
        <v>394000</v>
      </c>
      <c r="M11" s="122">
        <f t="shared" si="1"/>
        <v>394000</v>
      </c>
      <c r="N11" s="242">
        <f t="shared" si="1"/>
        <v>394000</v>
      </c>
    </row>
    <row r="12" spans="3:14" ht="15" customHeight="1" x14ac:dyDescent="0.25">
      <c r="C12" s="245" t="s">
        <v>39</v>
      </c>
      <c r="D12" s="254">
        <f>SUM(D8:D11)</f>
        <v>-96000</v>
      </c>
      <c r="E12" s="254">
        <f t="shared" ref="E12:N12" si="2">SUM(E8:E11)</f>
        <v>-645000</v>
      </c>
      <c r="F12" s="254">
        <f t="shared" si="2"/>
        <v>-645000</v>
      </c>
      <c r="G12" s="254">
        <f t="shared" si="2"/>
        <v>-645000</v>
      </c>
      <c r="H12" s="254">
        <f t="shared" si="2"/>
        <v>-645000</v>
      </c>
      <c r="I12" s="254">
        <f t="shared" si="2"/>
        <v>-645000</v>
      </c>
      <c r="J12" s="254">
        <f t="shared" si="2"/>
        <v>-591000</v>
      </c>
      <c r="K12" s="254">
        <f t="shared" si="2"/>
        <v>-591000</v>
      </c>
      <c r="L12" s="254">
        <f t="shared" si="2"/>
        <v>-591000</v>
      </c>
      <c r="M12" s="254">
        <f t="shared" si="2"/>
        <v>-591000</v>
      </c>
      <c r="N12" s="255">
        <f t="shared" si="2"/>
        <v>-591000</v>
      </c>
    </row>
    <row r="13" spans="3:14" s="63" customFormat="1" ht="13.5" customHeight="1" x14ac:dyDescent="0.25"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3:14" ht="15" customHeight="1" x14ac:dyDescent="0.25">
      <c r="C14" s="308" t="s">
        <v>0</v>
      </c>
      <c r="D14" s="309" t="s">
        <v>1</v>
      </c>
      <c r="E14" s="309" t="s">
        <v>2</v>
      </c>
      <c r="F14" s="309" t="s">
        <v>13</v>
      </c>
      <c r="G14" s="309" t="s">
        <v>14</v>
      </c>
      <c r="H14" s="309" t="s">
        <v>15</v>
      </c>
      <c r="I14" s="309" t="s">
        <v>16</v>
      </c>
      <c r="J14" s="309" t="s">
        <v>17</v>
      </c>
      <c r="K14" s="309" t="s">
        <v>18</v>
      </c>
      <c r="L14" s="309" t="s">
        <v>19</v>
      </c>
      <c r="M14" s="309" t="s">
        <v>20</v>
      </c>
      <c r="N14" s="310" t="s">
        <v>21</v>
      </c>
    </row>
    <row r="15" spans="3:14" ht="15" customHeight="1" x14ac:dyDescent="0.25">
      <c r="C15" s="50" t="s">
        <v>93</v>
      </c>
      <c r="D15" s="121"/>
      <c r="E15" s="121">
        <f t="shared" ref="E15:N15" si="3">+E8</f>
        <v>-985000</v>
      </c>
      <c r="F15" s="121">
        <f t="shared" si="3"/>
        <v>-985000</v>
      </c>
      <c r="G15" s="121">
        <f t="shared" si="3"/>
        <v>-985000</v>
      </c>
      <c r="H15" s="121">
        <f t="shared" si="3"/>
        <v>-985000</v>
      </c>
      <c r="I15" s="121">
        <f t="shared" si="3"/>
        <v>-985000</v>
      </c>
      <c r="J15" s="121">
        <f t="shared" si="3"/>
        <v>-985000</v>
      </c>
      <c r="K15" s="121">
        <f t="shared" si="3"/>
        <v>-985000</v>
      </c>
      <c r="L15" s="121">
        <f t="shared" si="3"/>
        <v>-985000</v>
      </c>
      <c r="M15" s="121">
        <f t="shared" si="3"/>
        <v>-985000</v>
      </c>
      <c r="N15" s="45">
        <f t="shared" si="3"/>
        <v>-985000</v>
      </c>
    </row>
    <row r="16" spans="3:14" ht="15" customHeight="1" x14ac:dyDescent="0.25">
      <c r="C16" s="50" t="s">
        <v>150</v>
      </c>
      <c r="D16" s="121">
        <f>+D10</f>
        <v>-160000</v>
      </c>
      <c r="E16" s="121"/>
      <c r="F16" s="121"/>
      <c r="G16" s="121"/>
      <c r="H16" s="121"/>
      <c r="I16" s="121"/>
      <c r="J16" s="121"/>
      <c r="K16" s="121"/>
      <c r="L16" s="121"/>
      <c r="M16" s="121"/>
      <c r="N16" s="45"/>
    </row>
    <row r="17" spans="3:14" ht="15" customHeight="1" x14ac:dyDescent="0.25">
      <c r="C17" s="50" t="s">
        <v>151</v>
      </c>
      <c r="D17" s="121">
        <f>+D11</f>
        <v>64000</v>
      </c>
      <c r="E17" s="121">
        <f t="shared" ref="E17:N17" si="4">+E11</f>
        <v>430000</v>
      </c>
      <c r="F17" s="121">
        <f t="shared" si="4"/>
        <v>430000</v>
      </c>
      <c r="G17" s="121">
        <f t="shared" si="4"/>
        <v>430000</v>
      </c>
      <c r="H17" s="121">
        <f t="shared" si="4"/>
        <v>430000</v>
      </c>
      <c r="I17" s="121">
        <f t="shared" si="4"/>
        <v>430000</v>
      </c>
      <c r="J17" s="121">
        <f t="shared" si="4"/>
        <v>394000</v>
      </c>
      <c r="K17" s="121">
        <f t="shared" si="4"/>
        <v>394000</v>
      </c>
      <c r="L17" s="121">
        <f t="shared" si="4"/>
        <v>394000</v>
      </c>
      <c r="M17" s="121">
        <f t="shared" si="4"/>
        <v>394000</v>
      </c>
      <c r="N17" s="45">
        <f t="shared" si="4"/>
        <v>394000</v>
      </c>
    </row>
    <row r="18" spans="3:14" ht="15" customHeight="1" x14ac:dyDescent="0.25">
      <c r="C18" s="50" t="s">
        <v>152</v>
      </c>
      <c r="D18" s="121">
        <f>-140000*(1-$D$3)</f>
        <v>-84000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45"/>
    </row>
    <row r="19" spans="3:14" ht="15" customHeight="1" x14ac:dyDescent="0.25">
      <c r="C19" s="50" t="s">
        <v>153</v>
      </c>
      <c r="D19" s="121">
        <v>-450000</v>
      </c>
      <c r="E19" s="121"/>
      <c r="F19" s="121"/>
      <c r="G19" s="121"/>
      <c r="H19" s="121"/>
      <c r="I19" s="121"/>
      <c r="J19" s="121"/>
      <c r="K19" s="121"/>
      <c r="L19" s="121"/>
      <c r="M19" s="121"/>
      <c r="N19" s="45"/>
    </row>
    <row r="20" spans="3:14" ht="15" customHeight="1" x14ac:dyDescent="0.25">
      <c r="C20" s="245" t="s">
        <v>43</v>
      </c>
      <c r="D20" s="246">
        <f>SUM(D15:D19)</f>
        <v>-630000</v>
      </c>
      <c r="E20" s="246">
        <f>SUM(E15:E17)</f>
        <v>-555000</v>
      </c>
      <c r="F20" s="246">
        <f t="shared" ref="F20:N20" si="5">SUM(F15:F17)</f>
        <v>-555000</v>
      </c>
      <c r="G20" s="246">
        <f t="shared" si="5"/>
        <v>-555000</v>
      </c>
      <c r="H20" s="246">
        <f t="shared" si="5"/>
        <v>-555000</v>
      </c>
      <c r="I20" s="246">
        <f t="shared" si="5"/>
        <v>-555000</v>
      </c>
      <c r="J20" s="246">
        <f t="shared" si="5"/>
        <v>-591000</v>
      </c>
      <c r="K20" s="246">
        <f t="shared" si="5"/>
        <v>-591000</v>
      </c>
      <c r="L20" s="246">
        <f t="shared" si="5"/>
        <v>-591000</v>
      </c>
      <c r="M20" s="246">
        <f t="shared" si="5"/>
        <v>-591000</v>
      </c>
      <c r="N20" s="247">
        <f t="shared" si="5"/>
        <v>-591000</v>
      </c>
    </row>
    <row r="21" spans="3:14" s="63" customFormat="1" x14ac:dyDescent="0.25"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</row>
    <row r="22" spans="3:14" s="14" customFormat="1" ht="16.95" customHeight="1" x14ac:dyDescent="0.3">
      <c r="C22" s="131" t="s">
        <v>44</v>
      </c>
      <c r="D22" s="132">
        <f>+D20+NPV(D4,E20:N20)</f>
        <v>-4124970.8357727616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3:14" x14ac:dyDescent="0.2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3:14" ht="15" customHeight="1" x14ac:dyDescent="0.25">
      <c r="C24" s="374" t="s">
        <v>154</v>
      </c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6"/>
    </row>
    <row r="25" spans="3:14" ht="15" customHeight="1" x14ac:dyDescent="0.25">
      <c r="C25" s="308" t="s">
        <v>37</v>
      </c>
      <c r="D25" s="309" t="s">
        <v>1</v>
      </c>
      <c r="E25" s="309" t="s">
        <v>2</v>
      </c>
      <c r="F25" s="309" t="s">
        <v>13</v>
      </c>
      <c r="G25" s="309" t="s">
        <v>14</v>
      </c>
      <c r="H25" s="309" t="s">
        <v>15</v>
      </c>
      <c r="I25" s="309" t="s">
        <v>16</v>
      </c>
      <c r="J25" s="309" t="s">
        <v>17</v>
      </c>
      <c r="K25" s="309" t="s">
        <v>18</v>
      </c>
      <c r="L25" s="309" t="s">
        <v>19</v>
      </c>
      <c r="M25" s="309" t="s">
        <v>20</v>
      </c>
      <c r="N25" s="310" t="s">
        <v>21</v>
      </c>
    </row>
    <row r="26" spans="3:14" ht="15" customHeight="1" x14ac:dyDescent="0.25">
      <c r="C26" s="50" t="s">
        <v>93</v>
      </c>
      <c r="D26" s="121"/>
      <c r="E26" s="121">
        <v>-1181000</v>
      </c>
      <c r="F26" s="121">
        <v>-1181000</v>
      </c>
      <c r="G26" s="121">
        <v>-1181000</v>
      </c>
      <c r="H26" s="121">
        <v>-1181000</v>
      </c>
      <c r="I26" s="121">
        <v>-1181000</v>
      </c>
      <c r="J26" s="121">
        <v>-1181000</v>
      </c>
      <c r="K26" s="121">
        <v>-1181000</v>
      </c>
      <c r="L26" s="121">
        <v>-1181000</v>
      </c>
      <c r="M26" s="121">
        <v>-1181000</v>
      </c>
      <c r="N26" s="45">
        <v>-1181000</v>
      </c>
    </row>
    <row r="27" spans="3:14" ht="15" customHeight="1" x14ac:dyDescent="0.25">
      <c r="C27" s="50" t="s">
        <v>30</v>
      </c>
      <c r="D27" s="121"/>
      <c r="E27" s="121">
        <f>+$D$37*0.2</f>
        <v>-50000</v>
      </c>
      <c r="F27" s="121">
        <f>+$D$37*0.2</f>
        <v>-50000</v>
      </c>
      <c r="G27" s="121">
        <f>+$D$37*0.2</f>
        <v>-50000</v>
      </c>
      <c r="H27" s="121">
        <f>+$D$37*0.2</f>
        <v>-50000</v>
      </c>
      <c r="I27" s="121">
        <f>+$D$37*0.2</f>
        <v>-50000</v>
      </c>
      <c r="J27" s="121"/>
      <c r="K27" s="121"/>
      <c r="L27" s="121"/>
      <c r="M27" s="121"/>
      <c r="N27" s="45"/>
    </row>
    <row r="28" spans="3:14" ht="15" customHeight="1" x14ac:dyDescent="0.25">
      <c r="C28" s="50" t="s">
        <v>149</v>
      </c>
      <c r="D28" s="121">
        <v>-160000</v>
      </c>
      <c r="E28" s="121"/>
      <c r="F28" s="121"/>
      <c r="G28" s="121"/>
      <c r="H28" s="121"/>
      <c r="I28" s="121"/>
      <c r="J28" s="121"/>
      <c r="K28" s="121"/>
      <c r="L28" s="121"/>
      <c r="M28" s="121"/>
      <c r="N28" s="45"/>
    </row>
    <row r="29" spans="3:14" ht="15" customHeight="1" x14ac:dyDescent="0.25">
      <c r="C29" s="50" t="s">
        <v>4</v>
      </c>
      <c r="D29" s="121">
        <f>-(D28)*$D$3</f>
        <v>64000</v>
      </c>
      <c r="E29" s="121">
        <f>-(E26+E27)*$D$3</f>
        <v>492400</v>
      </c>
      <c r="F29" s="121">
        <f t="shared" ref="F29:N29" si="6">-(F26+F27)*$D$3</f>
        <v>492400</v>
      </c>
      <c r="G29" s="121">
        <f t="shared" si="6"/>
        <v>492400</v>
      </c>
      <c r="H29" s="121">
        <f t="shared" si="6"/>
        <v>492400</v>
      </c>
      <c r="I29" s="121">
        <f t="shared" si="6"/>
        <v>492400</v>
      </c>
      <c r="J29" s="121">
        <f t="shared" si="6"/>
        <v>472400</v>
      </c>
      <c r="K29" s="121">
        <f t="shared" si="6"/>
        <v>472400</v>
      </c>
      <c r="L29" s="121">
        <f t="shared" si="6"/>
        <v>472400</v>
      </c>
      <c r="M29" s="121">
        <f t="shared" si="6"/>
        <v>472400</v>
      </c>
      <c r="N29" s="45">
        <f t="shared" si="6"/>
        <v>472400</v>
      </c>
    </row>
    <row r="30" spans="3:14" ht="15" customHeight="1" x14ac:dyDescent="0.25">
      <c r="C30" s="245" t="s">
        <v>39</v>
      </c>
      <c r="D30" s="246">
        <f>SUM(D26:D29)</f>
        <v>-96000</v>
      </c>
      <c r="E30" s="246">
        <f t="shared" ref="E30:N30" si="7">SUM(E26:E29)</f>
        <v>-738600</v>
      </c>
      <c r="F30" s="246">
        <f t="shared" si="7"/>
        <v>-738600</v>
      </c>
      <c r="G30" s="246">
        <f t="shared" si="7"/>
        <v>-738600</v>
      </c>
      <c r="H30" s="246">
        <f t="shared" si="7"/>
        <v>-738600</v>
      </c>
      <c r="I30" s="246">
        <f t="shared" si="7"/>
        <v>-738600</v>
      </c>
      <c r="J30" s="246">
        <f t="shared" si="7"/>
        <v>-708600</v>
      </c>
      <c r="K30" s="246">
        <f t="shared" si="7"/>
        <v>-708600</v>
      </c>
      <c r="L30" s="246">
        <f t="shared" si="7"/>
        <v>-708600</v>
      </c>
      <c r="M30" s="246">
        <f t="shared" si="7"/>
        <v>-708600</v>
      </c>
      <c r="N30" s="247">
        <f t="shared" si="7"/>
        <v>-708600</v>
      </c>
    </row>
    <row r="31" spans="3:14" s="63" customFormat="1" ht="13.5" customHeight="1" x14ac:dyDescent="0.25"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3:14" ht="15" customHeight="1" x14ac:dyDescent="0.25">
      <c r="C32" s="308" t="s">
        <v>85</v>
      </c>
      <c r="D32" s="309" t="s">
        <v>1</v>
      </c>
      <c r="E32" s="309" t="s">
        <v>2</v>
      </c>
      <c r="F32" s="309" t="s">
        <v>13</v>
      </c>
      <c r="G32" s="309" t="s">
        <v>14</v>
      </c>
      <c r="H32" s="309" t="s">
        <v>15</v>
      </c>
      <c r="I32" s="309" t="s">
        <v>16</v>
      </c>
      <c r="J32" s="309" t="s">
        <v>17</v>
      </c>
      <c r="K32" s="309" t="s">
        <v>18</v>
      </c>
      <c r="L32" s="309" t="s">
        <v>19</v>
      </c>
      <c r="M32" s="309" t="s">
        <v>20</v>
      </c>
      <c r="N32" s="310" t="s">
        <v>21</v>
      </c>
    </row>
    <row r="33" spans="3:14" ht="15" customHeight="1" x14ac:dyDescent="0.25">
      <c r="C33" s="50" t="s">
        <v>93</v>
      </c>
      <c r="D33" s="121"/>
      <c r="E33" s="121">
        <f t="shared" ref="E33:N33" si="8">+E26</f>
        <v>-1181000</v>
      </c>
      <c r="F33" s="121">
        <f t="shared" si="8"/>
        <v>-1181000</v>
      </c>
      <c r="G33" s="121">
        <f t="shared" si="8"/>
        <v>-1181000</v>
      </c>
      <c r="H33" s="121">
        <f t="shared" si="8"/>
        <v>-1181000</v>
      </c>
      <c r="I33" s="121">
        <f t="shared" si="8"/>
        <v>-1181000</v>
      </c>
      <c r="J33" s="121">
        <f t="shared" si="8"/>
        <v>-1181000</v>
      </c>
      <c r="K33" s="121">
        <f t="shared" si="8"/>
        <v>-1181000</v>
      </c>
      <c r="L33" s="121">
        <f t="shared" si="8"/>
        <v>-1181000</v>
      </c>
      <c r="M33" s="121">
        <f t="shared" si="8"/>
        <v>-1181000</v>
      </c>
      <c r="N33" s="45">
        <f t="shared" si="8"/>
        <v>-1181000</v>
      </c>
    </row>
    <row r="34" spans="3:14" ht="15" customHeight="1" x14ac:dyDescent="0.25">
      <c r="C34" s="50" t="s">
        <v>150</v>
      </c>
      <c r="D34" s="121">
        <v>-160000</v>
      </c>
      <c r="E34" s="121"/>
      <c r="F34" s="121"/>
      <c r="G34" s="121"/>
      <c r="H34" s="121"/>
      <c r="I34" s="121"/>
      <c r="J34" s="121"/>
      <c r="K34" s="121"/>
      <c r="L34" s="121"/>
      <c r="M34" s="121"/>
      <c r="N34" s="45"/>
    </row>
    <row r="35" spans="3:14" ht="15" customHeight="1" x14ac:dyDescent="0.25">
      <c r="C35" s="50" t="s">
        <v>151</v>
      </c>
      <c r="D35" s="121">
        <f t="shared" ref="D35:N35" si="9">D29</f>
        <v>64000</v>
      </c>
      <c r="E35" s="121">
        <f t="shared" si="9"/>
        <v>492400</v>
      </c>
      <c r="F35" s="121">
        <f t="shared" si="9"/>
        <v>492400</v>
      </c>
      <c r="G35" s="121">
        <f t="shared" si="9"/>
        <v>492400</v>
      </c>
      <c r="H35" s="121">
        <f t="shared" si="9"/>
        <v>492400</v>
      </c>
      <c r="I35" s="121">
        <f t="shared" si="9"/>
        <v>492400</v>
      </c>
      <c r="J35" s="121">
        <f t="shared" si="9"/>
        <v>472400</v>
      </c>
      <c r="K35" s="121">
        <f t="shared" si="9"/>
        <v>472400</v>
      </c>
      <c r="L35" s="121">
        <f t="shared" si="9"/>
        <v>472400</v>
      </c>
      <c r="M35" s="121">
        <f t="shared" si="9"/>
        <v>472400</v>
      </c>
      <c r="N35" s="45">
        <f t="shared" si="9"/>
        <v>472400</v>
      </c>
    </row>
    <row r="36" spans="3:14" ht="15" customHeight="1" x14ac:dyDescent="0.25">
      <c r="C36" s="50" t="s">
        <v>152</v>
      </c>
      <c r="D36" s="121">
        <f>-140000*(1-$D$3)</f>
        <v>-84000</v>
      </c>
      <c r="E36" s="121"/>
      <c r="F36" s="121"/>
      <c r="G36" s="121"/>
      <c r="H36" s="121"/>
      <c r="I36" s="121"/>
      <c r="J36" s="121"/>
      <c r="K36" s="121"/>
      <c r="L36" s="121"/>
      <c r="M36" s="121"/>
      <c r="N36" s="45"/>
    </row>
    <row r="37" spans="3:14" ht="15" customHeight="1" x14ac:dyDescent="0.25">
      <c r="C37" s="50" t="s">
        <v>153</v>
      </c>
      <c r="D37" s="121">
        <f>D19+200000</f>
        <v>-250000</v>
      </c>
      <c r="E37" s="121"/>
      <c r="F37" s="121"/>
      <c r="G37" s="121"/>
      <c r="H37" s="121"/>
      <c r="I37" s="121"/>
      <c r="J37" s="121"/>
      <c r="K37" s="121"/>
      <c r="L37" s="121"/>
      <c r="M37" s="121"/>
      <c r="N37" s="45"/>
    </row>
    <row r="38" spans="3:14" ht="15" customHeight="1" x14ac:dyDescent="0.25">
      <c r="C38" s="245" t="s">
        <v>43</v>
      </c>
      <c r="D38" s="246">
        <f>SUM(D33:D37)</f>
        <v>-430000</v>
      </c>
      <c r="E38" s="246">
        <f>SUM(E33:E35)</f>
        <v>-688600</v>
      </c>
      <c r="F38" s="246">
        <f t="shared" ref="F38:N38" si="10">SUM(F33:F35)</f>
        <v>-688600</v>
      </c>
      <c r="G38" s="246">
        <f t="shared" si="10"/>
        <v>-688600</v>
      </c>
      <c r="H38" s="246">
        <f t="shared" si="10"/>
        <v>-688600</v>
      </c>
      <c r="I38" s="246">
        <f t="shared" si="10"/>
        <v>-688600</v>
      </c>
      <c r="J38" s="246">
        <f t="shared" si="10"/>
        <v>-708600</v>
      </c>
      <c r="K38" s="246">
        <f t="shared" si="10"/>
        <v>-708600</v>
      </c>
      <c r="L38" s="246">
        <f t="shared" si="10"/>
        <v>-708600</v>
      </c>
      <c r="M38" s="246">
        <f t="shared" si="10"/>
        <v>-708600</v>
      </c>
      <c r="N38" s="247">
        <f t="shared" si="10"/>
        <v>-708600</v>
      </c>
    </row>
    <row r="39" spans="3:14" s="63" customFormat="1" x14ac:dyDescent="0.25"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3:14" ht="16.95" customHeight="1" x14ac:dyDescent="0.25">
      <c r="C40" s="131" t="s">
        <v>44</v>
      </c>
      <c r="D40" s="132">
        <f>+D38+NPV(D4,E38:N38)</f>
        <v>-4708224.5157141667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  <row r="41" spans="3:14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3:14" ht="15" customHeight="1" x14ac:dyDescent="0.25">
      <c r="C42" s="374" t="s">
        <v>155</v>
      </c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6"/>
    </row>
    <row r="43" spans="3:14" ht="15" customHeight="1" x14ac:dyDescent="0.25">
      <c r="C43" s="308" t="s">
        <v>37</v>
      </c>
      <c r="D43" s="309" t="s">
        <v>1</v>
      </c>
      <c r="E43" s="309" t="s">
        <v>2</v>
      </c>
      <c r="F43" s="309" t="s">
        <v>13</v>
      </c>
      <c r="G43" s="309" t="s">
        <v>14</v>
      </c>
      <c r="H43" s="309" t="s">
        <v>15</v>
      </c>
      <c r="I43" s="309" t="s">
        <v>16</v>
      </c>
      <c r="J43" s="309" t="s">
        <v>17</v>
      </c>
      <c r="K43" s="309" t="s">
        <v>18</v>
      </c>
      <c r="L43" s="309" t="s">
        <v>19</v>
      </c>
      <c r="M43" s="309" t="s">
        <v>20</v>
      </c>
      <c r="N43" s="310" t="s">
        <v>21</v>
      </c>
    </row>
    <row r="44" spans="3:14" ht="15" customHeight="1" x14ac:dyDescent="0.25">
      <c r="C44" s="50" t="s">
        <v>93</v>
      </c>
      <c r="D44" s="121"/>
      <c r="E44" s="121">
        <v>-900000</v>
      </c>
      <c r="F44" s="121">
        <v>-900000</v>
      </c>
      <c r="G44" s="121">
        <v>-900000</v>
      </c>
      <c r="H44" s="121">
        <v>-900000</v>
      </c>
      <c r="I44" s="121">
        <v>-900000</v>
      </c>
      <c r="J44" s="121">
        <v>-900000</v>
      </c>
      <c r="K44" s="121">
        <v>-900000</v>
      </c>
      <c r="L44" s="121">
        <v>-900000</v>
      </c>
      <c r="M44" s="121">
        <v>-900000</v>
      </c>
      <c r="N44" s="45">
        <v>-900000</v>
      </c>
    </row>
    <row r="45" spans="3:14" ht="15" customHeight="1" x14ac:dyDescent="0.25">
      <c r="C45" s="50" t="s">
        <v>30</v>
      </c>
      <c r="D45" s="121"/>
      <c r="E45" s="121">
        <f t="shared" ref="E45:N45" si="11">+$D$54*0.1</f>
        <v>-200000</v>
      </c>
      <c r="F45" s="121">
        <f t="shared" si="11"/>
        <v>-200000</v>
      </c>
      <c r="G45" s="121">
        <f t="shared" si="11"/>
        <v>-200000</v>
      </c>
      <c r="H45" s="121">
        <f t="shared" si="11"/>
        <v>-200000</v>
      </c>
      <c r="I45" s="121">
        <f t="shared" si="11"/>
        <v>-200000</v>
      </c>
      <c r="J45" s="121">
        <f t="shared" si="11"/>
        <v>-200000</v>
      </c>
      <c r="K45" s="121">
        <f t="shared" si="11"/>
        <v>-200000</v>
      </c>
      <c r="L45" s="121">
        <f t="shared" si="11"/>
        <v>-200000</v>
      </c>
      <c r="M45" s="121">
        <f t="shared" si="11"/>
        <v>-200000</v>
      </c>
      <c r="N45" s="45">
        <f t="shared" si="11"/>
        <v>-200000</v>
      </c>
    </row>
    <row r="46" spans="3:14" ht="15" customHeight="1" x14ac:dyDescent="0.25">
      <c r="C46" s="50" t="s">
        <v>213</v>
      </c>
      <c r="D46" s="121">
        <v>140000</v>
      </c>
      <c r="E46" s="121"/>
      <c r="F46" s="121"/>
      <c r="G46" s="121"/>
      <c r="H46" s="121"/>
      <c r="I46" s="121"/>
      <c r="J46" s="121"/>
      <c r="K46" s="121"/>
      <c r="L46" s="121"/>
      <c r="M46" s="121"/>
      <c r="N46" s="45"/>
    </row>
    <row r="47" spans="3:14" ht="15" customHeight="1" x14ac:dyDescent="0.25">
      <c r="C47" s="50" t="s">
        <v>4</v>
      </c>
      <c r="D47" s="121">
        <f>-(D44+D45+D46)*$D$3</f>
        <v>-56000</v>
      </c>
      <c r="E47" s="121">
        <f t="shared" ref="E47:N47" si="12">-(E44+E45+E46)*$D$3</f>
        <v>440000</v>
      </c>
      <c r="F47" s="121">
        <f t="shared" si="12"/>
        <v>440000</v>
      </c>
      <c r="G47" s="121">
        <f t="shared" si="12"/>
        <v>440000</v>
      </c>
      <c r="H47" s="121">
        <f t="shared" si="12"/>
        <v>440000</v>
      </c>
      <c r="I47" s="121">
        <f t="shared" si="12"/>
        <v>440000</v>
      </c>
      <c r="J47" s="121">
        <f t="shared" si="12"/>
        <v>440000</v>
      </c>
      <c r="K47" s="121">
        <f t="shared" si="12"/>
        <v>440000</v>
      </c>
      <c r="L47" s="121">
        <f t="shared" si="12"/>
        <v>440000</v>
      </c>
      <c r="M47" s="121">
        <f t="shared" si="12"/>
        <v>440000</v>
      </c>
      <c r="N47" s="45">
        <f t="shared" si="12"/>
        <v>440000</v>
      </c>
    </row>
    <row r="48" spans="3:14" ht="16.2" customHeight="1" x14ac:dyDescent="0.25">
      <c r="C48" s="245" t="s">
        <v>39</v>
      </c>
      <c r="D48" s="246">
        <f>SUM(D44:D47)</f>
        <v>84000</v>
      </c>
      <c r="E48" s="246">
        <f t="shared" ref="E48:N48" si="13">SUM(E44:E47)</f>
        <v>-660000</v>
      </c>
      <c r="F48" s="246">
        <f t="shared" si="13"/>
        <v>-660000</v>
      </c>
      <c r="G48" s="246">
        <f t="shared" si="13"/>
        <v>-660000</v>
      </c>
      <c r="H48" s="246">
        <f t="shared" si="13"/>
        <v>-660000</v>
      </c>
      <c r="I48" s="246">
        <f t="shared" si="13"/>
        <v>-660000</v>
      </c>
      <c r="J48" s="246">
        <f t="shared" si="13"/>
        <v>-660000</v>
      </c>
      <c r="K48" s="246">
        <f t="shared" si="13"/>
        <v>-660000</v>
      </c>
      <c r="L48" s="246">
        <f t="shared" si="13"/>
        <v>-660000</v>
      </c>
      <c r="M48" s="246">
        <f t="shared" si="13"/>
        <v>-660000</v>
      </c>
      <c r="N48" s="247">
        <f t="shared" si="13"/>
        <v>-660000</v>
      </c>
    </row>
    <row r="49" spans="3:14" s="63" customFormat="1" ht="13.5" customHeight="1" x14ac:dyDescent="0.2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3:14" ht="15" customHeight="1" x14ac:dyDescent="0.25">
      <c r="C50" s="308" t="s">
        <v>85</v>
      </c>
      <c r="D50" s="309" t="s">
        <v>1</v>
      </c>
      <c r="E50" s="309" t="s">
        <v>2</v>
      </c>
      <c r="F50" s="309" t="s">
        <v>13</v>
      </c>
      <c r="G50" s="309" t="s">
        <v>14</v>
      </c>
      <c r="H50" s="309" t="s">
        <v>15</v>
      </c>
      <c r="I50" s="309" t="s">
        <v>16</v>
      </c>
      <c r="J50" s="309" t="s">
        <v>17</v>
      </c>
      <c r="K50" s="309" t="s">
        <v>18</v>
      </c>
      <c r="L50" s="309" t="s">
        <v>19</v>
      </c>
      <c r="M50" s="309" t="s">
        <v>20</v>
      </c>
      <c r="N50" s="310" t="s">
        <v>21</v>
      </c>
    </row>
    <row r="51" spans="3:14" ht="15" customHeight="1" x14ac:dyDescent="0.25">
      <c r="C51" s="50" t="s">
        <v>93</v>
      </c>
      <c r="D51" s="121"/>
      <c r="E51" s="121">
        <f t="shared" ref="E51:N51" si="14">+E44</f>
        <v>-900000</v>
      </c>
      <c r="F51" s="121">
        <f t="shared" si="14"/>
        <v>-900000</v>
      </c>
      <c r="G51" s="121">
        <f t="shared" si="14"/>
        <v>-900000</v>
      </c>
      <c r="H51" s="121">
        <f t="shared" si="14"/>
        <v>-900000</v>
      </c>
      <c r="I51" s="121">
        <f t="shared" si="14"/>
        <v>-900000</v>
      </c>
      <c r="J51" s="121">
        <f t="shared" si="14"/>
        <v>-900000</v>
      </c>
      <c r="K51" s="121">
        <f t="shared" si="14"/>
        <v>-900000</v>
      </c>
      <c r="L51" s="121">
        <f t="shared" si="14"/>
        <v>-900000</v>
      </c>
      <c r="M51" s="121">
        <f t="shared" si="14"/>
        <v>-900000</v>
      </c>
      <c r="N51" s="45">
        <f t="shared" si="14"/>
        <v>-900000</v>
      </c>
    </row>
    <row r="52" spans="3:14" ht="15" customHeight="1" x14ac:dyDescent="0.25">
      <c r="C52" s="50" t="s">
        <v>151</v>
      </c>
      <c r="D52" s="121">
        <f t="shared" ref="D52:N52" si="15">D47</f>
        <v>-56000</v>
      </c>
      <c r="E52" s="121">
        <f t="shared" si="15"/>
        <v>440000</v>
      </c>
      <c r="F52" s="121">
        <f t="shared" si="15"/>
        <v>440000</v>
      </c>
      <c r="G52" s="121">
        <f t="shared" si="15"/>
        <v>440000</v>
      </c>
      <c r="H52" s="121">
        <f t="shared" si="15"/>
        <v>440000</v>
      </c>
      <c r="I52" s="121">
        <f t="shared" si="15"/>
        <v>440000</v>
      </c>
      <c r="J52" s="121">
        <f t="shared" si="15"/>
        <v>440000</v>
      </c>
      <c r="K52" s="121">
        <f t="shared" si="15"/>
        <v>440000</v>
      </c>
      <c r="L52" s="121">
        <f t="shared" si="15"/>
        <v>440000</v>
      </c>
      <c r="M52" s="121">
        <f t="shared" si="15"/>
        <v>440000</v>
      </c>
      <c r="N52" s="45">
        <f t="shared" si="15"/>
        <v>440000</v>
      </c>
    </row>
    <row r="53" spans="3:14" ht="15" customHeight="1" x14ac:dyDescent="0.25">
      <c r="C53" s="50" t="s">
        <v>156</v>
      </c>
      <c r="D53" s="121">
        <v>140000</v>
      </c>
      <c r="E53" s="121"/>
      <c r="F53" s="121"/>
      <c r="G53" s="121"/>
      <c r="H53" s="121"/>
      <c r="I53" s="121"/>
      <c r="J53" s="121"/>
      <c r="K53" s="121"/>
      <c r="L53" s="121"/>
      <c r="M53" s="121"/>
      <c r="N53" s="45"/>
    </row>
    <row r="54" spans="3:14" ht="15" customHeight="1" x14ac:dyDescent="0.25">
      <c r="C54" s="50" t="s">
        <v>153</v>
      </c>
      <c r="D54" s="121">
        <v>-2000000</v>
      </c>
      <c r="E54" s="121"/>
      <c r="F54" s="121"/>
      <c r="G54" s="121"/>
      <c r="H54" s="121"/>
      <c r="I54" s="121"/>
      <c r="J54" s="121"/>
      <c r="K54" s="121"/>
      <c r="L54" s="121"/>
      <c r="M54" s="121"/>
      <c r="N54" s="45"/>
    </row>
    <row r="55" spans="3:14" ht="15" customHeight="1" x14ac:dyDescent="0.25">
      <c r="C55" s="245" t="s">
        <v>43</v>
      </c>
      <c r="D55" s="246">
        <f>SUM(D51:D54)</f>
        <v>-1916000</v>
      </c>
      <c r="E55" s="246">
        <f t="shared" ref="E55:N55" si="16">SUM(E51:E54)</f>
        <v>-460000</v>
      </c>
      <c r="F55" s="246">
        <f t="shared" si="16"/>
        <v>-460000</v>
      </c>
      <c r="G55" s="246">
        <f t="shared" si="16"/>
        <v>-460000</v>
      </c>
      <c r="H55" s="246">
        <f t="shared" si="16"/>
        <v>-460000</v>
      </c>
      <c r="I55" s="246">
        <f t="shared" si="16"/>
        <v>-460000</v>
      </c>
      <c r="J55" s="246">
        <f t="shared" si="16"/>
        <v>-460000</v>
      </c>
      <c r="K55" s="246">
        <f t="shared" si="16"/>
        <v>-460000</v>
      </c>
      <c r="L55" s="246">
        <f t="shared" si="16"/>
        <v>-460000</v>
      </c>
      <c r="M55" s="246">
        <f t="shared" si="16"/>
        <v>-460000</v>
      </c>
      <c r="N55" s="247">
        <f t="shared" si="16"/>
        <v>-460000</v>
      </c>
    </row>
    <row r="56" spans="3:14" s="63" customFormat="1" x14ac:dyDescent="0.25"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</row>
    <row r="57" spans="3:14" ht="16.95" customHeight="1" x14ac:dyDescent="0.25">
      <c r="C57" s="131" t="s">
        <v>44</v>
      </c>
      <c r="D57" s="132">
        <f>+D55+NPV(D4,E55:N55)</f>
        <v>-4742500.8686241526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</sheetData>
  <sheetProtection algorithmName="SHA-512" hashValue="R58TajKAkdWT5fRhwbfvYFznx6hghlRQiOhMJHR7ydU8IwgSTmp0bQbjdmJn1b0WKrNLdeuPjDKHDfbERA+dng==" saltValue="My5S7ut6B3wIlydWHQJpmg==" spinCount="100000" sheet="1" objects="1" scenarios="1"/>
  <mergeCells count="4">
    <mergeCell ref="C1:N1"/>
    <mergeCell ref="C6:N6"/>
    <mergeCell ref="C24:N24"/>
    <mergeCell ref="C42:N42"/>
  </mergeCells>
  <phoneticPr fontId="2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6:C24"/>
  <sheetViews>
    <sheetView zoomScale="99" zoomScaleNormal="99" workbookViewId="0">
      <selection activeCell="I27" sqref="I27"/>
    </sheetView>
  </sheetViews>
  <sheetFormatPr baseColWidth="10" defaultColWidth="11.44140625" defaultRowHeight="13.2" x14ac:dyDescent="0.25"/>
  <cols>
    <col min="1" max="1" width="12.5546875" style="3" customWidth="1"/>
    <col min="2" max="2" width="12" style="3" customWidth="1"/>
    <col min="3" max="16384" width="11.44140625" style="3"/>
  </cols>
  <sheetData>
    <row r="6" spans="2:3" x14ac:dyDescent="0.25">
      <c r="B6" s="6" t="s">
        <v>68</v>
      </c>
      <c r="C6" s="3" t="s">
        <v>352</v>
      </c>
    </row>
    <row r="7" spans="2:3" x14ac:dyDescent="0.25">
      <c r="B7" s="6"/>
    </row>
    <row r="8" spans="2:3" x14ac:dyDescent="0.25">
      <c r="B8" s="6" t="s">
        <v>69</v>
      </c>
      <c r="C8" s="3" t="s">
        <v>353</v>
      </c>
    </row>
    <row r="9" spans="2:3" x14ac:dyDescent="0.25">
      <c r="B9" s="6"/>
    </row>
    <row r="10" spans="2:3" x14ac:dyDescent="0.25">
      <c r="B10" s="6" t="s">
        <v>92</v>
      </c>
      <c r="C10" s="3" t="s">
        <v>354</v>
      </c>
    </row>
    <row r="11" spans="2:3" x14ac:dyDescent="0.25">
      <c r="B11" s="6"/>
    </row>
    <row r="12" spans="2:3" x14ac:dyDescent="0.25">
      <c r="B12" s="6" t="s">
        <v>217</v>
      </c>
      <c r="C12" s="3" t="s">
        <v>355</v>
      </c>
    </row>
    <row r="13" spans="2:3" x14ac:dyDescent="0.25">
      <c r="B13" s="6"/>
    </row>
    <row r="14" spans="2:3" x14ac:dyDescent="0.25">
      <c r="B14" s="6" t="s">
        <v>218</v>
      </c>
      <c r="C14" s="3" t="s">
        <v>356</v>
      </c>
    </row>
    <row r="15" spans="2:3" x14ac:dyDescent="0.25">
      <c r="B15" s="6"/>
    </row>
    <row r="16" spans="2:3" x14ac:dyDescent="0.25">
      <c r="B16" s="6" t="s">
        <v>219</v>
      </c>
      <c r="C16" s="3" t="s">
        <v>357</v>
      </c>
    </row>
    <row r="17" spans="2:3" x14ac:dyDescent="0.25">
      <c r="B17" s="6"/>
    </row>
    <row r="18" spans="2:3" x14ac:dyDescent="0.25">
      <c r="B18" s="6" t="s">
        <v>215</v>
      </c>
      <c r="C18" s="3" t="s">
        <v>358</v>
      </c>
    </row>
    <row r="19" spans="2:3" x14ac:dyDescent="0.25">
      <c r="B19" s="6"/>
    </row>
    <row r="20" spans="2:3" x14ac:dyDescent="0.25">
      <c r="B20" s="6" t="s">
        <v>216</v>
      </c>
      <c r="C20" s="3" t="s">
        <v>359</v>
      </c>
    </row>
    <row r="21" spans="2:3" x14ac:dyDescent="0.25">
      <c r="B21" s="6"/>
    </row>
    <row r="22" spans="2:3" x14ac:dyDescent="0.25">
      <c r="B22" s="6" t="s">
        <v>350</v>
      </c>
      <c r="C22" s="3" t="s">
        <v>360</v>
      </c>
    </row>
    <row r="23" spans="2:3" x14ac:dyDescent="0.25">
      <c r="B23" s="6"/>
    </row>
    <row r="24" spans="2:3" x14ac:dyDescent="0.25">
      <c r="B24" s="6" t="s">
        <v>351</v>
      </c>
      <c r="C24" s="3" t="s">
        <v>361</v>
      </c>
    </row>
  </sheetData>
  <sheetProtection algorithmName="SHA-512" hashValue="TagfNdPidKN42SLCfDbcLP7xVk+Vywhg+Y82btKv1Phtm98WVeOZSVbPwNJzzTm4YZCHZ/1rYyPmyVPofcz2ig==" saltValue="Ufy7tTnaYqDgLy0c2cZFHw==" spinCount="100000" sheet="1" objects="1" scenarios="1"/>
  <pageMargins left="0.7" right="0.7" top="0.75" bottom="0.75" header="0.3" footer="0.3"/>
  <pageSetup orientation="portrait" horizontalDpi="360" verticalDpi="36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C1:N10"/>
  <sheetViews>
    <sheetView workbookViewId="0">
      <selection activeCell="D8" sqref="D8"/>
    </sheetView>
  </sheetViews>
  <sheetFormatPr baseColWidth="10" defaultColWidth="11.44140625" defaultRowHeight="13.2" x14ac:dyDescent="0.25"/>
  <cols>
    <col min="1" max="1" width="11.44140625" style="2"/>
    <col min="2" max="2" width="12.33203125" style="2" customWidth="1"/>
    <col min="3" max="3" width="19.33203125" style="2" customWidth="1"/>
    <col min="4" max="4" width="13" style="2" customWidth="1"/>
    <col min="5" max="5" width="11.44140625" style="2" bestFit="1" customWidth="1"/>
    <col min="6" max="6" width="7.6640625" style="2" bestFit="1" customWidth="1"/>
    <col min="7" max="7" width="10.33203125" style="2" bestFit="1" customWidth="1"/>
    <col min="8" max="8" width="7.6640625" style="2" bestFit="1" customWidth="1"/>
    <col min="9" max="9" width="10.6640625" style="2" bestFit="1" customWidth="1"/>
    <col min="10" max="13" width="11.5546875" style="2" bestFit="1" customWidth="1"/>
    <col min="14" max="14" width="11.6640625" style="2" customWidth="1"/>
    <col min="15" max="16384" width="11.44140625" style="2"/>
  </cols>
  <sheetData>
    <row r="1" spans="3:14" ht="19.95" customHeight="1" x14ac:dyDescent="0.25">
      <c r="C1" s="353" t="s">
        <v>339</v>
      </c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3" spans="3:14" ht="14.4" customHeight="1" x14ac:dyDescent="0.25">
      <c r="C3" s="311"/>
      <c r="D3" s="312" t="s">
        <v>1</v>
      </c>
      <c r="E3" s="312" t="s">
        <v>2</v>
      </c>
      <c r="F3" s="312" t="s">
        <v>13</v>
      </c>
      <c r="G3" s="312" t="s">
        <v>14</v>
      </c>
      <c r="H3" s="312" t="s">
        <v>15</v>
      </c>
      <c r="I3" s="312" t="s">
        <v>16</v>
      </c>
      <c r="J3" s="312" t="s">
        <v>17</v>
      </c>
      <c r="K3" s="312" t="s">
        <v>18</v>
      </c>
      <c r="L3" s="312" t="s">
        <v>19</v>
      </c>
      <c r="M3" s="312" t="s">
        <v>20</v>
      </c>
      <c r="N3" s="313" t="s">
        <v>21</v>
      </c>
    </row>
    <row r="4" spans="3:14" ht="13.8" x14ac:dyDescent="0.25">
      <c r="C4" s="96" t="s">
        <v>166</v>
      </c>
      <c r="D4" s="182">
        <v>-200000</v>
      </c>
      <c r="E4" s="182">
        <v>-200000</v>
      </c>
      <c r="F4" s="182">
        <v>0</v>
      </c>
      <c r="G4" s="182">
        <v>0</v>
      </c>
      <c r="H4" s="182">
        <v>0</v>
      </c>
      <c r="I4" s="182">
        <v>100000</v>
      </c>
      <c r="J4" s="182">
        <v>0</v>
      </c>
      <c r="K4" s="182">
        <v>0</v>
      </c>
      <c r="L4" s="182">
        <v>0</v>
      </c>
      <c r="M4" s="182">
        <v>0</v>
      </c>
      <c r="N4" s="100">
        <f>-SUM(D4:M4)</f>
        <v>300000</v>
      </c>
    </row>
    <row r="5" spans="3:14" ht="13.8" x14ac:dyDescent="0.25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3:14" ht="13.8" x14ac:dyDescent="0.25">
      <c r="C6" s="256" t="s">
        <v>44</v>
      </c>
      <c r="D6" s="90">
        <f>+D4+NPV(10%,E4:N4)</f>
        <v>-204063.0626834069</v>
      </c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3:14" ht="13.8" x14ac:dyDescent="0.25"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3:14" ht="15" customHeight="1" x14ac:dyDescent="0.25">
      <c r="C8" s="256" t="s">
        <v>167</v>
      </c>
      <c r="D8" s="37">
        <f>360000+D6</f>
        <v>155936.9373165931</v>
      </c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3:14" ht="13.8" x14ac:dyDescent="0.25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3:14" ht="13.8" x14ac:dyDescent="0.25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</sheetData>
  <sheetProtection algorithmName="SHA-512" hashValue="16TRKgf8D/PyB0GGptWAglXi4LgA2ZZ7LGad2p12ZGlshKOTYx3Rh8FCjx8x7Jo9VwXLkI+Rilhf/UWw1tXtyg==" saltValue="AcRXSM6tYRU8AxchvcqAag==" spinCount="100000" sheet="1" objects="1" scenarios="1"/>
  <mergeCells count="1">
    <mergeCell ref="C1:N1"/>
  </mergeCells>
  <pageMargins left="0.7" right="0.7" top="0.75" bottom="0.75" header="0.3" footer="0.3"/>
  <pageSetup orientation="portrait" horizontalDpi="360" verticalDpi="36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C1:V14"/>
  <sheetViews>
    <sheetView workbookViewId="0">
      <selection activeCell="H17" sqref="H17"/>
    </sheetView>
  </sheetViews>
  <sheetFormatPr baseColWidth="10" defaultRowHeight="13.2" x14ac:dyDescent="0.25"/>
  <cols>
    <col min="1" max="1" width="11.5546875" style="2"/>
    <col min="2" max="2" width="12" style="2" customWidth="1"/>
    <col min="3" max="3" width="22.44140625" style="2" customWidth="1"/>
    <col min="4" max="4" width="9.109375" style="2" bestFit="1" customWidth="1"/>
    <col min="5" max="9" width="9.6640625" style="2" bestFit="1" customWidth="1"/>
    <col min="10" max="22" width="11.44140625" style="4"/>
    <col min="23" max="258" width="11.44140625" style="2"/>
    <col min="259" max="259" width="23.88671875" style="2" customWidth="1"/>
    <col min="260" max="260" width="12.5546875" style="2" customWidth="1"/>
    <col min="261" max="514" width="11.44140625" style="2"/>
    <col min="515" max="515" width="23.88671875" style="2" customWidth="1"/>
    <col min="516" max="516" width="12.5546875" style="2" customWidth="1"/>
    <col min="517" max="770" width="11.44140625" style="2"/>
    <col min="771" max="771" width="23.88671875" style="2" customWidth="1"/>
    <col min="772" max="772" width="12.5546875" style="2" customWidth="1"/>
    <col min="773" max="1026" width="11.44140625" style="2"/>
    <col min="1027" max="1027" width="23.88671875" style="2" customWidth="1"/>
    <col min="1028" max="1028" width="12.5546875" style="2" customWidth="1"/>
    <col min="1029" max="1282" width="11.44140625" style="2"/>
    <col min="1283" max="1283" width="23.88671875" style="2" customWidth="1"/>
    <col min="1284" max="1284" width="12.5546875" style="2" customWidth="1"/>
    <col min="1285" max="1538" width="11.44140625" style="2"/>
    <col min="1539" max="1539" width="23.88671875" style="2" customWidth="1"/>
    <col min="1540" max="1540" width="12.5546875" style="2" customWidth="1"/>
    <col min="1541" max="1794" width="11.44140625" style="2"/>
    <col min="1795" max="1795" width="23.88671875" style="2" customWidth="1"/>
    <col min="1796" max="1796" width="12.5546875" style="2" customWidth="1"/>
    <col min="1797" max="2050" width="11.44140625" style="2"/>
    <col min="2051" max="2051" width="23.88671875" style="2" customWidth="1"/>
    <col min="2052" max="2052" width="12.5546875" style="2" customWidth="1"/>
    <col min="2053" max="2306" width="11.44140625" style="2"/>
    <col min="2307" max="2307" width="23.88671875" style="2" customWidth="1"/>
    <col min="2308" max="2308" width="12.5546875" style="2" customWidth="1"/>
    <col min="2309" max="2562" width="11.44140625" style="2"/>
    <col min="2563" max="2563" width="23.88671875" style="2" customWidth="1"/>
    <col min="2564" max="2564" width="12.5546875" style="2" customWidth="1"/>
    <col min="2565" max="2818" width="11.44140625" style="2"/>
    <col min="2819" max="2819" width="23.88671875" style="2" customWidth="1"/>
    <col min="2820" max="2820" width="12.5546875" style="2" customWidth="1"/>
    <col min="2821" max="3074" width="11.44140625" style="2"/>
    <col min="3075" max="3075" width="23.88671875" style="2" customWidth="1"/>
    <col min="3076" max="3076" width="12.5546875" style="2" customWidth="1"/>
    <col min="3077" max="3330" width="11.44140625" style="2"/>
    <col min="3331" max="3331" width="23.88671875" style="2" customWidth="1"/>
    <col min="3332" max="3332" width="12.5546875" style="2" customWidth="1"/>
    <col min="3333" max="3586" width="11.44140625" style="2"/>
    <col min="3587" max="3587" width="23.88671875" style="2" customWidth="1"/>
    <col min="3588" max="3588" width="12.5546875" style="2" customWidth="1"/>
    <col min="3589" max="3842" width="11.44140625" style="2"/>
    <col min="3843" max="3843" width="23.88671875" style="2" customWidth="1"/>
    <col min="3844" max="3844" width="12.5546875" style="2" customWidth="1"/>
    <col min="3845" max="4098" width="11.44140625" style="2"/>
    <col min="4099" max="4099" width="23.88671875" style="2" customWidth="1"/>
    <col min="4100" max="4100" width="12.5546875" style="2" customWidth="1"/>
    <col min="4101" max="4354" width="11.44140625" style="2"/>
    <col min="4355" max="4355" width="23.88671875" style="2" customWidth="1"/>
    <col min="4356" max="4356" width="12.5546875" style="2" customWidth="1"/>
    <col min="4357" max="4610" width="11.44140625" style="2"/>
    <col min="4611" max="4611" width="23.88671875" style="2" customWidth="1"/>
    <col min="4612" max="4612" width="12.5546875" style="2" customWidth="1"/>
    <col min="4613" max="4866" width="11.44140625" style="2"/>
    <col min="4867" max="4867" width="23.88671875" style="2" customWidth="1"/>
    <col min="4868" max="4868" width="12.5546875" style="2" customWidth="1"/>
    <col min="4869" max="5122" width="11.44140625" style="2"/>
    <col min="5123" max="5123" width="23.88671875" style="2" customWidth="1"/>
    <col min="5124" max="5124" width="12.5546875" style="2" customWidth="1"/>
    <col min="5125" max="5378" width="11.44140625" style="2"/>
    <col min="5379" max="5379" width="23.88671875" style="2" customWidth="1"/>
    <col min="5380" max="5380" width="12.5546875" style="2" customWidth="1"/>
    <col min="5381" max="5634" width="11.44140625" style="2"/>
    <col min="5635" max="5635" width="23.88671875" style="2" customWidth="1"/>
    <col min="5636" max="5636" width="12.5546875" style="2" customWidth="1"/>
    <col min="5637" max="5890" width="11.44140625" style="2"/>
    <col min="5891" max="5891" width="23.88671875" style="2" customWidth="1"/>
    <col min="5892" max="5892" width="12.5546875" style="2" customWidth="1"/>
    <col min="5893" max="6146" width="11.44140625" style="2"/>
    <col min="6147" max="6147" width="23.88671875" style="2" customWidth="1"/>
    <col min="6148" max="6148" width="12.5546875" style="2" customWidth="1"/>
    <col min="6149" max="6402" width="11.44140625" style="2"/>
    <col min="6403" max="6403" width="23.88671875" style="2" customWidth="1"/>
    <col min="6404" max="6404" width="12.5546875" style="2" customWidth="1"/>
    <col min="6405" max="6658" width="11.44140625" style="2"/>
    <col min="6659" max="6659" width="23.88671875" style="2" customWidth="1"/>
    <col min="6660" max="6660" width="12.5546875" style="2" customWidth="1"/>
    <col min="6661" max="6914" width="11.44140625" style="2"/>
    <col min="6915" max="6915" width="23.88671875" style="2" customWidth="1"/>
    <col min="6916" max="6916" width="12.5546875" style="2" customWidth="1"/>
    <col min="6917" max="7170" width="11.44140625" style="2"/>
    <col min="7171" max="7171" width="23.88671875" style="2" customWidth="1"/>
    <col min="7172" max="7172" width="12.5546875" style="2" customWidth="1"/>
    <col min="7173" max="7426" width="11.44140625" style="2"/>
    <col min="7427" max="7427" width="23.88671875" style="2" customWidth="1"/>
    <col min="7428" max="7428" width="12.5546875" style="2" customWidth="1"/>
    <col min="7429" max="7682" width="11.44140625" style="2"/>
    <col min="7683" max="7683" width="23.88671875" style="2" customWidth="1"/>
    <col min="7684" max="7684" width="12.5546875" style="2" customWidth="1"/>
    <col min="7685" max="7938" width="11.44140625" style="2"/>
    <col min="7939" max="7939" width="23.88671875" style="2" customWidth="1"/>
    <col min="7940" max="7940" width="12.5546875" style="2" customWidth="1"/>
    <col min="7941" max="8194" width="11.44140625" style="2"/>
    <col min="8195" max="8195" width="23.88671875" style="2" customWidth="1"/>
    <col min="8196" max="8196" width="12.5546875" style="2" customWidth="1"/>
    <col min="8197" max="8450" width="11.44140625" style="2"/>
    <col min="8451" max="8451" width="23.88671875" style="2" customWidth="1"/>
    <col min="8452" max="8452" width="12.5546875" style="2" customWidth="1"/>
    <col min="8453" max="8706" width="11.44140625" style="2"/>
    <col min="8707" max="8707" width="23.88671875" style="2" customWidth="1"/>
    <col min="8708" max="8708" width="12.5546875" style="2" customWidth="1"/>
    <col min="8709" max="8962" width="11.44140625" style="2"/>
    <col min="8963" max="8963" width="23.88671875" style="2" customWidth="1"/>
    <col min="8964" max="8964" width="12.5546875" style="2" customWidth="1"/>
    <col min="8965" max="9218" width="11.44140625" style="2"/>
    <col min="9219" max="9219" width="23.88671875" style="2" customWidth="1"/>
    <col min="9220" max="9220" width="12.5546875" style="2" customWidth="1"/>
    <col min="9221" max="9474" width="11.44140625" style="2"/>
    <col min="9475" max="9475" width="23.88671875" style="2" customWidth="1"/>
    <col min="9476" max="9476" width="12.5546875" style="2" customWidth="1"/>
    <col min="9477" max="9730" width="11.44140625" style="2"/>
    <col min="9731" max="9731" width="23.88671875" style="2" customWidth="1"/>
    <col min="9732" max="9732" width="12.5546875" style="2" customWidth="1"/>
    <col min="9733" max="9986" width="11.44140625" style="2"/>
    <col min="9987" max="9987" width="23.88671875" style="2" customWidth="1"/>
    <col min="9988" max="9988" width="12.5546875" style="2" customWidth="1"/>
    <col min="9989" max="10242" width="11.44140625" style="2"/>
    <col min="10243" max="10243" width="23.88671875" style="2" customWidth="1"/>
    <col min="10244" max="10244" width="12.5546875" style="2" customWidth="1"/>
    <col min="10245" max="10498" width="11.44140625" style="2"/>
    <col min="10499" max="10499" width="23.88671875" style="2" customWidth="1"/>
    <col min="10500" max="10500" width="12.5546875" style="2" customWidth="1"/>
    <col min="10501" max="10754" width="11.44140625" style="2"/>
    <col min="10755" max="10755" width="23.88671875" style="2" customWidth="1"/>
    <col min="10756" max="10756" width="12.5546875" style="2" customWidth="1"/>
    <col min="10757" max="11010" width="11.44140625" style="2"/>
    <col min="11011" max="11011" width="23.88671875" style="2" customWidth="1"/>
    <col min="11012" max="11012" width="12.5546875" style="2" customWidth="1"/>
    <col min="11013" max="11266" width="11.44140625" style="2"/>
    <col min="11267" max="11267" width="23.88671875" style="2" customWidth="1"/>
    <col min="11268" max="11268" width="12.5546875" style="2" customWidth="1"/>
    <col min="11269" max="11522" width="11.44140625" style="2"/>
    <col min="11523" max="11523" width="23.88671875" style="2" customWidth="1"/>
    <col min="11524" max="11524" width="12.5546875" style="2" customWidth="1"/>
    <col min="11525" max="11778" width="11.44140625" style="2"/>
    <col min="11779" max="11779" width="23.88671875" style="2" customWidth="1"/>
    <col min="11780" max="11780" width="12.5546875" style="2" customWidth="1"/>
    <col min="11781" max="12034" width="11.44140625" style="2"/>
    <col min="12035" max="12035" width="23.88671875" style="2" customWidth="1"/>
    <col min="12036" max="12036" width="12.5546875" style="2" customWidth="1"/>
    <col min="12037" max="12290" width="11.44140625" style="2"/>
    <col min="12291" max="12291" width="23.88671875" style="2" customWidth="1"/>
    <col min="12292" max="12292" width="12.5546875" style="2" customWidth="1"/>
    <col min="12293" max="12546" width="11.44140625" style="2"/>
    <col min="12547" max="12547" width="23.88671875" style="2" customWidth="1"/>
    <col min="12548" max="12548" width="12.5546875" style="2" customWidth="1"/>
    <col min="12549" max="12802" width="11.44140625" style="2"/>
    <col min="12803" max="12803" width="23.88671875" style="2" customWidth="1"/>
    <col min="12804" max="12804" width="12.5546875" style="2" customWidth="1"/>
    <col min="12805" max="13058" width="11.44140625" style="2"/>
    <col min="13059" max="13059" width="23.88671875" style="2" customWidth="1"/>
    <col min="13060" max="13060" width="12.5546875" style="2" customWidth="1"/>
    <col min="13061" max="13314" width="11.44140625" style="2"/>
    <col min="13315" max="13315" width="23.88671875" style="2" customWidth="1"/>
    <col min="13316" max="13316" width="12.5546875" style="2" customWidth="1"/>
    <col min="13317" max="13570" width="11.44140625" style="2"/>
    <col min="13571" max="13571" width="23.88671875" style="2" customWidth="1"/>
    <col min="13572" max="13572" width="12.5546875" style="2" customWidth="1"/>
    <col min="13573" max="13826" width="11.44140625" style="2"/>
    <col min="13827" max="13827" width="23.88671875" style="2" customWidth="1"/>
    <col min="13828" max="13828" width="12.5546875" style="2" customWidth="1"/>
    <col min="13829" max="14082" width="11.44140625" style="2"/>
    <col min="14083" max="14083" width="23.88671875" style="2" customWidth="1"/>
    <col min="14084" max="14084" width="12.5546875" style="2" customWidth="1"/>
    <col min="14085" max="14338" width="11.44140625" style="2"/>
    <col min="14339" max="14339" width="23.88671875" style="2" customWidth="1"/>
    <col min="14340" max="14340" width="12.5546875" style="2" customWidth="1"/>
    <col min="14341" max="14594" width="11.44140625" style="2"/>
    <col min="14595" max="14595" width="23.88671875" style="2" customWidth="1"/>
    <col min="14596" max="14596" width="12.5546875" style="2" customWidth="1"/>
    <col min="14597" max="14850" width="11.44140625" style="2"/>
    <col min="14851" max="14851" width="23.88671875" style="2" customWidth="1"/>
    <col min="14852" max="14852" width="12.5546875" style="2" customWidth="1"/>
    <col min="14853" max="15106" width="11.44140625" style="2"/>
    <col min="15107" max="15107" width="23.88671875" style="2" customWidth="1"/>
    <col min="15108" max="15108" width="12.5546875" style="2" customWidth="1"/>
    <col min="15109" max="15362" width="11.44140625" style="2"/>
    <col min="15363" max="15363" width="23.88671875" style="2" customWidth="1"/>
    <col min="15364" max="15364" width="12.5546875" style="2" customWidth="1"/>
    <col min="15365" max="15618" width="11.44140625" style="2"/>
    <col min="15619" max="15619" width="23.88671875" style="2" customWidth="1"/>
    <col min="15620" max="15620" width="12.5546875" style="2" customWidth="1"/>
    <col min="15621" max="15874" width="11.44140625" style="2"/>
    <col min="15875" max="15875" width="23.88671875" style="2" customWidth="1"/>
    <col min="15876" max="15876" width="12.5546875" style="2" customWidth="1"/>
    <col min="15877" max="16130" width="11.44140625" style="2"/>
    <col min="16131" max="16131" width="23.88671875" style="2" customWidth="1"/>
    <col min="16132" max="16132" width="12.5546875" style="2" customWidth="1"/>
    <col min="16133" max="16384" width="11.44140625" style="2"/>
  </cols>
  <sheetData>
    <row r="1" spans="3:14" ht="19.95" customHeight="1" x14ac:dyDescent="0.25">
      <c r="C1" s="353" t="s">
        <v>340</v>
      </c>
      <c r="D1" s="353"/>
      <c r="E1" s="353"/>
      <c r="F1" s="353"/>
      <c r="G1" s="353"/>
      <c r="H1" s="353"/>
      <c r="I1" s="353"/>
      <c r="J1" s="258"/>
      <c r="K1" s="258"/>
      <c r="L1" s="258"/>
      <c r="M1" s="258"/>
      <c r="N1" s="258"/>
    </row>
    <row r="3" spans="3:14" ht="13.8" x14ac:dyDescent="0.25">
      <c r="C3" s="314" t="s">
        <v>272</v>
      </c>
    </row>
    <row r="4" spans="3:14" ht="13.8" x14ac:dyDescent="0.25">
      <c r="C4" s="315"/>
      <c r="D4" s="313" t="s">
        <v>1</v>
      </c>
    </row>
    <row r="5" spans="3:14" x14ac:dyDescent="0.25">
      <c r="C5" s="316" t="s">
        <v>169</v>
      </c>
      <c r="D5" s="317">
        <f>50000*0.3</f>
        <v>15000</v>
      </c>
    </row>
    <row r="8" spans="3:14" ht="13.8" x14ac:dyDescent="0.25">
      <c r="C8" s="314" t="s">
        <v>273</v>
      </c>
    </row>
    <row r="9" spans="3:14" ht="13.8" x14ac:dyDescent="0.25">
      <c r="C9" s="311"/>
      <c r="D9" s="312" t="s">
        <v>1</v>
      </c>
      <c r="E9" s="312" t="s">
        <v>2</v>
      </c>
      <c r="F9" s="312" t="s">
        <v>13</v>
      </c>
      <c r="G9" s="312" t="s">
        <v>14</v>
      </c>
      <c r="H9" s="312" t="s">
        <v>15</v>
      </c>
      <c r="I9" s="313" t="s">
        <v>16</v>
      </c>
      <c r="J9" s="259"/>
      <c r="K9" s="259"/>
      <c r="L9" s="259"/>
      <c r="M9" s="259"/>
      <c r="N9" s="259"/>
    </row>
    <row r="10" spans="3:14" x14ac:dyDescent="0.25">
      <c r="C10" s="260" t="s">
        <v>208</v>
      </c>
      <c r="D10" s="4">
        <v>50000</v>
      </c>
      <c r="E10" s="4"/>
      <c r="F10" s="4"/>
      <c r="G10" s="4"/>
      <c r="H10" s="4"/>
      <c r="I10" s="261"/>
    </row>
    <row r="11" spans="3:14" x14ac:dyDescent="0.25">
      <c r="C11" s="260" t="s">
        <v>207</v>
      </c>
      <c r="D11" s="4"/>
      <c r="E11" s="4">
        <f>-$D$10*0.2</f>
        <v>-10000</v>
      </c>
      <c r="F11" s="4">
        <f>-$D$10*0.2</f>
        <v>-10000</v>
      </c>
      <c r="G11" s="4">
        <f>-$D$10*0.2</f>
        <v>-10000</v>
      </c>
      <c r="H11" s="4">
        <f>-$D$10*0.2</f>
        <v>-10000</v>
      </c>
      <c r="I11" s="261">
        <f>-$D$10*0.2</f>
        <v>-10000</v>
      </c>
    </row>
    <row r="12" spans="3:14" x14ac:dyDescent="0.25">
      <c r="C12" s="262" t="s">
        <v>168</v>
      </c>
      <c r="D12" s="263"/>
      <c r="E12" s="263">
        <f>-E11*30%</f>
        <v>3000</v>
      </c>
      <c r="F12" s="263">
        <f t="shared" ref="F12:I12" si="0">-F11*30%</f>
        <v>3000</v>
      </c>
      <c r="G12" s="263">
        <f t="shared" si="0"/>
        <v>3000</v>
      </c>
      <c r="H12" s="263">
        <f t="shared" si="0"/>
        <v>3000</v>
      </c>
      <c r="I12" s="264">
        <f t="shared" si="0"/>
        <v>3000</v>
      </c>
    </row>
    <row r="14" spans="3:14" ht="14.4" customHeight="1" x14ac:dyDescent="0.25">
      <c r="C14" s="265" t="s">
        <v>271</v>
      </c>
      <c r="D14" s="266">
        <f>NPV(0.08,E12:I12)</f>
        <v>11978.130111234255</v>
      </c>
    </row>
  </sheetData>
  <sheetProtection algorithmName="SHA-512" hashValue="e91SchYFv7hGtBI2mqzGy4gPAhsvPjdHRwyEO7iDESEp7g9/f+LWFpv4vjj8laPxOh5gdD+iZ4ubAesn4dm0mQ==" saltValue="BXyEYomu9D5oF+LmsPfXww==" spinCount="100000" sheet="1" objects="1" scenarios="1"/>
  <mergeCells count="1">
    <mergeCell ref="C1:I1"/>
  </mergeCells>
  <pageMargins left="0.7" right="0.7" top="0.75" bottom="0.75" header="0.3" footer="0.3"/>
  <pageSetup orientation="portrait" horizontalDpi="360" verticalDpi="36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C1:N11"/>
  <sheetViews>
    <sheetView workbookViewId="0">
      <selection activeCell="J12" sqref="J12"/>
    </sheetView>
  </sheetViews>
  <sheetFormatPr baseColWidth="10" defaultColWidth="11.44140625" defaultRowHeight="13.8" x14ac:dyDescent="0.25"/>
  <cols>
    <col min="1" max="1" width="11.44140625" style="56"/>
    <col min="2" max="2" width="11.6640625" style="56" customWidth="1"/>
    <col min="3" max="3" width="23.6640625" style="56" customWidth="1"/>
    <col min="4" max="5" width="13" style="56" bestFit="1" customWidth="1"/>
    <col min="6" max="9" width="11.6640625" style="56" bestFit="1" customWidth="1"/>
    <col min="10" max="16384" width="11.44140625" style="56"/>
  </cols>
  <sheetData>
    <row r="1" spans="3:14" ht="19.95" customHeight="1" x14ac:dyDescent="0.25">
      <c r="C1" s="353" t="s">
        <v>312</v>
      </c>
      <c r="D1" s="353"/>
      <c r="E1" s="353"/>
      <c r="F1" s="353"/>
      <c r="G1" s="353"/>
      <c r="H1" s="353"/>
      <c r="I1" s="353"/>
      <c r="J1" s="125"/>
      <c r="K1" s="125"/>
      <c r="L1" s="125"/>
      <c r="M1" s="125"/>
      <c r="N1" s="125"/>
    </row>
    <row r="3" spans="3:14" x14ac:dyDescent="0.25">
      <c r="C3" s="270"/>
      <c r="D3" s="287" t="s">
        <v>1</v>
      </c>
      <c r="E3" s="287" t="s">
        <v>2</v>
      </c>
      <c r="F3" s="287" t="s">
        <v>13</v>
      </c>
      <c r="G3" s="287" t="s">
        <v>14</v>
      </c>
      <c r="H3" s="287" t="s">
        <v>15</v>
      </c>
      <c r="I3" s="288" t="s">
        <v>16</v>
      </c>
    </row>
    <row r="4" spans="3:14" x14ac:dyDescent="0.25">
      <c r="C4" s="95" t="s">
        <v>266</v>
      </c>
      <c r="D4" s="63">
        <f>+(1+12%)^0</f>
        <v>1</v>
      </c>
      <c r="E4" s="63">
        <f>+(1+12%)^1</f>
        <v>1.1200000000000001</v>
      </c>
      <c r="F4" s="63">
        <f>+(1+12%)^2</f>
        <v>1.2544000000000002</v>
      </c>
      <c r="G4" s="63">
        <f>+(1+12%)^3</f>
        <v>1.4049280000000004</v>
      </c>
      <c r="H4" s="63">
        <f>+(1+12%)^4</f>
        <v>1.5735193600000004</v>
      </c>
      <c r="I4" s="99">
        <f>+(1+12%)^5</f>
        <v>1.7623416832000005</v>
      </c>
    </row>
    <row r="5" spans="3:14" x14ac:dyDescent="0.25">
      <c r="C5" s="95" t="s">
        <v>89</v>
      </c>
      <c r="D5" s="63">
        <v>-1518000</v>
      </c>
      <c r="E5" s="63">
        <v>405062.49999999994</v>
      </c>
      <c r="F5" s="63">
        <v>437585.29974489787</v>
      </c>
      <c r="G5" s="63">
        <v>433925.43959548092</v>
      </c>
      <c r="H5" s="63">
        <v>482583.19490902219</v>
      </c>
      <c r="I5" s="99">
        <v>458304.99709535541</v>
      </c>
    </row>
    <row r="6" spans="3:14" x14ac:dyDescent="0.25">
      <c r="C6" s="96" t="s">
        <v>90</v>
      </c>
      <c r="D6" s="182">
        <f>+D5</f>
        <v>-1518000</v>
      </c>
      <c r="E6" s="182">
        <f>+D6+E5</f>
        <v>-1112937.5</v>
      </c>
      <c r="F6" s="182">
        <f t="shared" ref="F6:I6" si="0">+E6+F5</f>
        <v>-675352.20025510213</v>
      </c>
      <c r="G6" s="182">
        <f t="shared" si="0"/>
        <v>-241426.76065962121</v>
      </c>
      <c r="H6" s="182">
        <f t="shared" si="0"/>
        <v>241156.43424940098</v>
      </c>
      <c r="I6" s="100">
        <f t="shared" si="0"/>
        <v>699461.43134475639</v>
      </c>
    </row>
    <row r="8" spans="3:14" x14ac:dyDescent="0.25">
      <c r="C8" s="270"/>
      <c r="D8" s="287" t="s">
        <v>1</v>
      </c>
      <c r="E8" s="287" t="s">
        <v>2</v>
      </c>
      <c r="F8" s="287" t="s">
        <v>13</v>
      </c>
      <c r="G8" s="287" t="s">
        <v>14</v>
      </c>
      <c r="H8" s="287" t="s">
        <v>15</v>
      </c>
      <c r="I8" s="288" t="s">
        <v>16</v>
      </c>
    </row>
    <row r="9" spans="3:14" x14ac:dyDescent="0.25">
      <c r="C9" s="114" t="s">
        <v>7</v>
      </c>
      <c r="D9" s="200">
        <f t="shared" ref="D9:I9" si="1">+D5*D4</f>
        <v>-1518000</v>
      </c>
      <c r="E9" s="200">
        <f t="shared" si="1"/>
        <v>453670</v>
      </c>
      <c r="F9" s="200">
        <f t="shared" si="1"/>
        <v>548907</v>
      </c>
      <c r="G9" s="200">
        <f t="shared" si="1"/>
        <v>609634</v>
      </c>
      <c r="H9" s="200">
        <f t="shared" si="1"/>
        <v>759354</v>
      </c>
      <c r="I9" s="201">
        <f t="shared" si="1"/>
        <v>807690</v>
      </c>
    </row>
    <row r="11" spans="3:14" x14ac:dyDescent="0.25">
      <c r="C11" s="131" t="s">
        <v>44</v>
      </c>
      <c r="D11" s="160">
        <f>+D9+NPV(12%,E9:I9)</f>
        <v>699461.43134475639</v>
      </c>
    </row>
  </sheetData>
  <sheetProtection algorithmName="SHA-512" hashValue="S/bnDe+hnxbFU4uebOfSjkNKZpLGSgMqVdQxhOY7/0yTK8tyRUWo5Bbk5xVfhCSuE4OvPYqqHdKYLfTFe5K1fg==" saltValue="x5jS4kewuy1Jv69811s1Hg==" spinCount="100000" sheet="1" objects="1" scenarios="1"/>
  <mergeCells count="1">
    <mergeCell ref="C1:I1"/>
  </mergeCells>
  <phoneticPr fontId="2" type="noConversion"/>
  <hyperlinks>
    <hyperlink ref="C11" r:id="rId1" display="VPN@12%" xr:uid="{00000000-0004-0000-15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5:P24"/>
  <sheetViews>
    <sheetView topLeftCell="A10" zoomScaleNormal="100" workbookViewId="0">
      <selection activeCell="H4" sqref="H4"/>
    </sheetView>
  </sheetViews>
  <sheetFormatPr baseColWidth="10" defaultColWidth="11.44140625" defaultRowHeight="13.2" x14ac:dyDescent="0.25"/>
  <cols>
    <col min="1" max="16384" width="11.44140625" style="3"/>
  </cols>
  <sheetData>
    <row r="5" spans="2:16" ht="15" customHeight="1" x14ac:dyDescent="0.25"/>
    <row r="6" spans="2:16" x14ac:dyDescent="0.25">
      <c r="C6" s="9"/>
    </row>
    <row r="7" spans="2:16" ht="13.8" x14ac:dyDescent="0.25">
      <c r="B7" s="66"/>
      <c r="C7" s="66" t="s">
        <v>220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13.8" x14ac:dyDescent="0.25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ht="13.8" x14ac:dyDescent="0.25">
      <c r="B9" s="344" t="s">
        <v>68</v>
      </c>
      <c r="C9" s="66" t="s">
        <v>281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6" ht="13.8" x14ac:dyDescent="0.25">
      <c r="B10" s="34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6" ht="13.8" x14ac:dyDescent="0.25">
      <c r="B11" s="344" t="s">
        <v>69</v>
      </c>
      <c r="C11" s="66" t="s">
        <v>221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2:16" ht="13.8" x14ac:dyDescent="0.25">
      <c r="B12" s="34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2:16" ht="13.8" x14ac:dyDescent="0.25">
      <c r="B13" s="344" t="s">
        <v>92</v>
      </c>
      <c r="C13" s="66" t="s">
        <v>222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2:16" ht="13.8" x14ac:dyDescent="0.25">
      <c r="B14" s="344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2:16" ht="13.8" x14ac:dyDescent="0.25">
      <c r="B15" s="344" t="s">
        <v>217</v>
      </c>
      <c r="C15" s="66" t="s">
        <v>223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2:16" ht="13.8" x14ac:dyDescent="0.25">
      <c r="B16" s="344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3.8" x14ac:dyDescent="0.25">
      <c r="B17" s="344" t="s">
        <v>218</v>
      </c>
      <c r="C17" s="66" t="s">
        <v>224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2:16" ht="13.8" x14ac:dyDescent="0.25">
      <c r="B18" s="344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2:16" ht="13.8" x14ac:dyDescent="0.25">
      <c r="B19" s="344" t="s">
        <v>219</v>
      </c>
      <c r="C19" s="66" t="s">
        <v>225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6" ht="13.8" x14ac:dyDescent="0.25">
      <c r="B20" s="344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3.8" x14ac:dyDescent="0.25">
      <c r="B21" s="344" t="s">
        <v>215</v>
      </c>
      <c r="C21" s="66" t="s">
        <v>226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2:16" ht="13.8" x14ac:dyDescent="0.25">
      <c r="B22" s="344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2:16" ht="13.8" x14ac:dyDescent="0.25">
      <c r="B23" s="344" t="s">
        <v>216</v>
      </c>
      <c r="C23" s="66" t="s">
        <v>227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2:16" ht="13.8" x14ac:dyDescent="0.2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</sheetData>
  <sheetProtection algorithmName="SHA-512" hashValue="8KtpAcXF4DXXKgw4DZHZdp3HvC/UsjDb6x2/Ux7W+ZKnORrQUvPLLpwNMG3hPnB2CoJ+lFTy4lEcTWOUx/ZBPw==" saltValue="z99G4VNIb4RLFVmKqkKMaw==" spinCount="100000" sheet="1" objects="1" scenarios="1"/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5:D35"/>
  <sheetViews>
    <sheetView zoomScaleNormal="100" workbookViewId="0">
      <selection activeCell="I19" sqref="I19"/>
    </sheetView>
  </sheetViews>
  <sheetFormatPr baseColWidth="10" defaultColWidth="11.44140625" defaultRowHeight="14.4" x14ac:dyDescent="0.3"/>
  <cols>
    <col min="1" max="1" width="11.44140625" style="1"/>
    <col min="2" max="2" width="4.88671875" style="1" customWidth="1"/>
    <col min="3" max="3" width="13.109375" style="1" customWidth="1"/>
    <col min="4" max="4" width="57.6640625" style="1" customWidth="1"/>
    <col min="5" max="16384" width="11.44140625" style="1"/>
  </cols>
  <sheetData>
    <row r="5" spans="3:4" ht="36" customHeight="1" x14ac:dyDescent="0.3">
      <c r="C5" s="341" t="s">
        <v>68</v>
      </c>
      <c r="D5" s="342" t="s">
        <v>363</v>
      </c>
    </row>
    <row r="6" spans="3:4" ht="41.4" x14ac:dyDescent="0.3">
      <c r="C6" s="343" t="s">
        <v>69</v>
      </c>
      <c r="D6" s="342" t="s">
        <v>364</v>
      </c>
    </row>
    <row r="7" spans="3:4" x14ac:dyDescent="0.3">
      <c r="C7" s="66"/>
      <c r="D7" s="66"/>
    </row>
    <row r="8" spans="3:4" x14ac:dyDescent="0.3">
      <c r="C8" s="344" t="s">
        <v>92</v>
      </c>
      <c r="D8" s="345" t="s">
        <v>365</v>
      </c>
    </row>
    <row r="9" spans="3:4" x14ac:dyDescent="0.3">
      <c r="C9" s="66"/>
      <c r="D9" s="66"/>
    </row>
    <row r="10" spans="3:4" ht="27.6" x14ac:dyDescent="0.3">
      <c r="C10" s="343" t="s">
        <v>217</v>
      </c>
      <c r="D10" s="345" t="s">
        <v>366</v>
      </c>
    </row>
    <row r="11" spans="3:4" x14ac:dyDescent="0.3">
      <c r="C11" s="66"/>
      <c r="D11" s="66"/>
    </row>
    <row r="12" spans="3:4" x14ac:dyDescent="0.3">
      <c r="C12" s="66"/>
      <c r="D12" s="66"/>
    </row>
    <row r="13" spans="3:4" x14ac:dyDescent="0.3">
      <c r="C13" s="66"/>
      <c r="D13" s="66"/>
    </row>
    <row r="14" spans="3:4" ht="27.6" x14ac:dyDescent="0.3">
      <c r="C14" s="66"/>
      <c r="D14" s="345" t="s">
        <v>362</v>
      </c>
    </row>
    <row r="15" spans="3:4" x14ac:dyDescent="0.3">
      <c r="C15" s="66"/>
      <c r="D15" s="66"/>
    </row>
    <row r="16" spans="3:4" x14ac:dyDescent="0.3">
      <c r="C16" s="66"/>
      <c r="D16" s="66"/>
    </row>
    <row r="17" spans="3:4" x14ac:dyDescent="0.3">
      <c r="C17" s="66"/>
      <c r="D17" s="66"/>
    </row>
    <row r="18" spans="3:4" x14ac:dyDescent="0.3">
      <c r="C18" s="66"/>
      <c r="D18" s="66"/>
    </row>
    <row r="19" spans="3:4" x14ac:dyDescent="0.3">
      <c r="C19" s="66"/>
      <c r="D19" s="66"/>
    </row>
    <row r="20" spans="3:4" x14ac:dyDescent="0.3">
      <c r="C20" s="344" t="s">
        <v>218</v>
      </c>
      <c r="D20" s="345" t="s">
        <v>367</v>
      </c>
    </row>
    <row r="21" spans="3:4" x14ac:dyDescent="0.3">
      <c r="C21" s="66"/>
      <c r="D21" s="66"/>
    </row>
    <row r="22" spans="3:4" x14ac:dyDescent="0.3">
      <c r="C22" s="66"/>
      <c r="D22" s="66"/>
    </row>
    <row r="23" spans="3:4" x14ac:dyDescent="0.3">
      <c r="C23" s="66"/>
      <c r="D23" s="66"/>
    </row>
    <row r="24" spans="3:4" x14ac:dyDescent="0.3">
      <c r="C24" s="344" t="s">
        <v>219</v>
      </c>
      <c r="D24" s="345" t="s">
        <v>368</v>
      </c>
    </row>
    <row r="25" spans="3:4" x14ac:dyDescent="0.3">
      <c r="C25" s="66"/>
      <c r="D25" s="66"/>
    </row>
    <row r="26" spans="3:4" x14ac:dyDescent="0.3">
      <c r="C26" s="66"/>
      <c r="D26" s="66"/>
    </row>
    <row r="27" spans="3:4" x14ac:dyDescent="0.3">
      <c r="C27" s="66"/>
      <c r="D27" s="66"/>
    </row>
    <row r="28" spans="3:4" x14ac:dyDescent="0.3">
      <c r="C28" s="66"/>
      <c r="D28" s="66"/>
    </row>
    <row r="29" spans="3:4" x14ac:dyDescent="0.3">
      <c r="C29" s="66"/>
      <c r="D29" s="66"/>
    </row>
    <row r="30" spans="3:4" x14ac:dyDescent="0.3">
      <c r="C30" s="66"/>
      <c r="D30" s="66"/>
    </row>
    <row r="31" spans="3:4" x14ac:dyDescent="0.3">
      <c r="C31" s="66"/>
      <c r="D31" s="66"/>
    </row>
    <row r="32" spans="3:4" x14ac:dyDescent="0.3">
      <c r="C32" s="66"/>
      <c r="D32" s="66"/>
    </row>
    <row r="33" spans="3:4" x14ac:dyDescent="0.3">
      <c r="C33" s="66"/>
      <c r="D33" s="66"/>
    </row>
    <row r="34" spans="3:4" x14ac:dyDescent="0.3">
      <c r="C34" s="66"/>
      <c r="D34" s="66"/>
    </row>
    <row r="35" spans="3:4" x14ac:dyDescent="0.3">
      <c r="C35" s="66"/>
      <c r="D35" s="66"/>
    </row>
  </sheetData>
  <sheetProtection algorithmName="SHA-512" hashValue="ri7FsP8DU3/PQXU6SLJ1ksAmEwgb+Y9caerCUTnIl7w0XF2tZnKt88tMEiP1629gSW5HaLpmuWghlh8Qt6KG4g==" saltValue="StFPt/7svMXim6A25hZlt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N26"/>
  <sheetViews>
    <sheetView zoomScaleNormal="100" workbookViewId="0">
      <selection activeCell="E3" sqref="E3"/>
    </sheetView>
  </sheetViews>
  <sheetFormatPr baseColWidth="10" defaultColWidth="11.44140625" defaultRowHeight="13.2" x14ac:dyDescent="0.25"/>
  <cols>
    <col min="1" max="2" width="11.44140625" style="36"/>
    <col min="3" max="3" width="7.33203125" style="36" customWidth="1"/>
    <col min="4" max="4" width="39.5546875" style="36" customWidth="1"/>
    <col min="5" max="5" width="11.44140625" style="36"/>
    <col min="6" max="6" width="3" style="36" customWidth="1"/>
    <col min="7" max="7" width="11.44140625" style="36"/>
    <col min="8" max="8" width="3.109375" style="36" customWidth="1"/>
    <col min="9" max="9" width="11.44140625" style="36" customWidth="1"/>
    <col min="10" max="10" width="2.33203125" style="36" customWidth="1"/>
    <col min="11" max="11" width="10.33203125" style="36" customWidth="1"/>
    <col min="12" max="12" width="3.33203125" style="36" customWidth="1"/>
    <col min="13" max="13" width="11.44140625" style="36"/>
    <col min="14" max="14" width="16.6640625" style="36" customWidth="1"/>
    <col min="15" max="16384" width="11.44140625" style="36"/>
  </cols>
  <sheetData>
    <row r="1" spans="3:14" s="15" customFormat="1" ht="19.95" customHeight="1" x14ac:dyDescent="0.3">
      <c r="D1" s="353" t="s">
        <v>296</v>
      </c>
      <c r="E1" s="353"/>
      <c r="F1" s="353"/>
      <c r="G1" s="353"/>
      <c r="H1" s="353"/>
      <c r="I1" s="353"/>
      <c r="J1" s="353"/>
      <c r="K1" s="353"/>
      <c r="L1" s="353"/>
      <c r="M1" s="353"/>
      <c r="N1" s="80"/>
    </row>
    <row r="2" spans="3:14" ht="10.199999999999999" customHeight="1" x14ac:dyDescent="0.25">
      <c r="C2" s="35"/>
    </row>
    <row r="3" spans="3:14" ht="15" customHeight="1" x14ac:dyDescent="0.25">
      <c r="C3" s="35"/>
      <c r="D3" s="275" t="s">
        <v>341</v>
      </c>
      <c r="E3" s="271">
        <f>+(150000/360)*15</f>
        <v>6250</v>
      </c>
      <c r="F3" s="272" t="s">
        <v>23</v>
      </c>
      <c r="G3" s="273">
        <v>50000</v>
      </c>
      <c r="H3" s="272" t="s">
        <v>23</v>
      </c>
      <c r="I3" s="273">
        <v>100000</v>
      </c>
      <c r="J3" s="272" t="s">
        <v>35</v>
      </c>
      <c r="K3" s="273">
        <v>70000</v>
      </c>
      <c r="L3" s="272" t="s">
        <v>36</v>
      </c>
      <c r="M3" s="274">
        <f>+E3+G3+I3-K3</f>
        <v>86250</v>
      </c>
      <c r="N3" s="38"/>
    </row>
    <row r="4" spans="3:14" ht="15" customHeight="1" x14ac:dyDescent="0.25">
      <c r="C4" s="35"/>
      <c r="D4" s="14"/>
      <c r="E4" s="14"/>
      <c r="F4" s="14"/>
      <c r="G4" s="14"/>
      <c r="H4" s="14"/>
      <c r="I4" s="14"/>
      <c r="J4" s="14"/>
      <c r="K4" s="14"/>
      <c r="L4" s="14"/>
      <c r="M4" s="14"/>
      <c r="N4" s="38"/>
    </row>
    <row r="5" spans="3:14" ht="15" customHeight="1" x14ac:dyDescent="0.25">
      <c r="C5" s="35"/>
      <c r="D5" s="276" t="s">
        <v>342</v>
      </c>
      <c r="E5" s="40"/>
      <c r="F5" s="14"/>
      <c r="G5" s="14"/>
      <c r="H5" s="14"/>
      <c r="I5" s="14"/>
      <c r="J5" s="14"/>
      <c r="K5" s="14"/>
      <c r="L5" s="14"/>
      <c r="M5" s="14"/>
      <c r="N5" s="38"/>
    </row>
    <row r="6" spans="3:14" ht="15" customHeight="1" x14ac:dyDescent="0.25">
      <c r="D6" s="41" t="s">
        <v>275</v>
      </c>
      <c r="E6" s="42">
        <f>+(I3/(90000-30000))*360</f>
        <v>600</v>
      </c>
      <c r="F6" s="14"/>
      <c r="G6" s="14"/>
      <c r="H6" s="14"/>
      <c r="I6" s="14"/>
      <c r="J6" s="14"/>
      <c r="K6" s="14"/>
      <c r="L6" s="14"/>
      <c r="M6" s="14"/>
      <c r="N6" s="38"/>
    </row>
    <row r="7" spans="3:14" ht="15" customHeight="1" x14ac:dyDescent="0.25">
      <c r="C7" s="35"/>
      <c r="D7" s="41" t="s">
        <v>274</v>
      </c>
      <c r="E7" s="42">
        <f>+(G3/150000)*360</f>
        <v>120</v>
      </c>
      <c r="F7" s="14"/>
      <c r="G7" s="14"/>
      <c r="H7" s="14"/>
      <c r="I7" s="14"/>
      <c r="J7" s="14"/>
      <c r="K7" s="14"/>
      <c r="L7" s="14"/>
      <c r="M7" s="14"/>
      <c r="N7" s="38"/>
    </row>
    <row r="8" spans="3:14" ht="15" customHeight="1" x14ac:dyDescent="0.25">
      <c r="C8" s="35"/>
      <c r="D8" s="41" t="s">
        <v>229</v>
      </c>
      <c r="E8" s="42">
        <f>+(K3/(90000-30000))*360</f>
        <v>420</v>
      </c>
      <c r="F8" s="14"/>
      <c r="G8" s="14"/>
      <c r="H8" s="14"/>
      <c r="I8" s="14"/>
      <c r="J8" s="14"/>
      <c r="K8" s="14"/>
      <c r="L8" s="14"/>
      <c r="M8" s="14"/>
      <c r="N8" s="38"/>
    </row>
    <row r="9" spans="3:14" ht="15" customHeight="1" x14ac:dyDescent="0.25">
      <c r="C9" s="35"/>
      <c r="D9" s="43" t="s">
        <v>228</v>
      </c>
      <c r="E9" s="42">
        <f>+E6+E7-E8</f>
        <v>300</v>
      </c>
      <c r="F9" s="14"/>
      <c r="G9" s="14"/>
      <c r="H9" s="14"/>
      <c r="I9" s="14"/>
      <c r="J9" s="14"/>
      <c r="K9" s="14"/>
      <c r="L9" s="14"/>
      <c r="M9" s="14"/>
      <c r="N9" s="38"/>
    </row>
    <row r="10" spans="3:14" ht="15" customHeight="1" x14ac:dyDescent="0.25">
      <c r="C10" s="35"/>
      <c r="D10" s="44"/>
      <c r="E10" s="45"/>
      <c r="F10" s="14"/>
      <c r="G10" s="14"/>
      <c r="H10" s="14"/>
      <c r="I10" s="14"/>
      <c r="J10" s="14"/>
      <c r="K10" s="14"/>
      <c r="L10" s="14"/>
      <c r="M10" s="14"/>
      <c r="N10" s="38"/>
    </row>
    <row r="11" spans="3:14" ht="15" customHeight="1" x14ac:dyDescent="0.25">
      <c r="C11" s="35"/>
      <c r="D11" s="44" t="s">
        <v>178</v>
      </c>
      <c r="E11" s="45">
        <f>((90000-30000)/360)</f>
        <v>166.66666666666666</v>
      </c>
      <c r="F11" s="14"/>
      <c r="G11" s="14"/>
      <c r="H11" s="14"/>
      <c r="I11" s="14"/>
      <c r="J11" s="14"/>
      <c r="K11" s="14"/>
      <c r="L11" s="14"/>
      <c r="M11" s="14"/>
      <c r="N11" s="38"/>
    </row>
    <row r="12" spans="3:14" ht="15" customHeight="1" x14ac:dyDescent="0.25">
      <c r="C12" s="35"/>
      <c r="D12" s="44" t="s">
        <v>267</v>
      </c>
      <c r="E12" s="45">
        <f>+E11*E9</f>
        <v>50000</v>
      </c>
      <c r="F12" s="14"/>
      <c r="G12" s="14"/>
      <c r="H12" s="14"/>
      <c r="I12" s="14"/>
      <c r="J12" s="14"/>
      <c r="K12" s="14"/>
      <c r="L12" s="14"/>
      <c r="M12" s="14"/>
      <c r="N12" s="38"/>
    </row>
    <row r="13" spans="3:14" ht="15" customHeight="1" x14ac:dyDescent="0.25">
      <c r="C13" s="35"/>
      <c r="D13" s="46" t="s">
        <v>34</v>
      </c>
      <c r="E13" s="45">
        <f>+E3</f>
        <v>6250</v>
      </c>
      <c r="F13" s="14"/>
      <c r="G13" s="14"/>
      <c r="H13" s="14"/>
      <c r="I13" s="14"/>
      <c r="J13" s="14"/>
      <c r="K13" s="14"/>
      <c r="L13" s="14"/>
      <c r="M13" s="14"/>
      <c r="N13" s="38"/>
    </row>
    <row r="14" spans="3:14" ht="15" customHeight="1" x14ac:dyDescent="0.25">
      <c r="C14" s="35"/>
      <c r="D14" s="47" t="s">
        <v>97</v>
      </c>
      <c r="E14" s="48">
        <f>SUM(E12:E13)</f>
        <v>56250</v>
      </c>
      <c r="F14" s="14"/>
      <c r="G14" s="14"/>
      <c r="H14" s="14"/>
      <c r="I14" s="14"/>
      <c r="J14" s="14"/>
      <c r="K14" s="14"/>
      <c r="L14" s="14"/>
      <c r="M14" s="14"/>
      <c r="N14" s="38"/>
    </row>
    <row r="15" spans="3:14" ht="15" customHeight="1" x14ac:dyDescent="0.25">
      <c r="C15" s="3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8"/>
    </row>
    <row r="16" spans="3:14" ht="15" customHeight="1" x14ac:dyDescent="0.25">
      <c r="C16" s="35"/>
      <c r="D16" s="276" t="s">
        <v>343</v>
      </c>
      <c r="E16" s="49"/>
      <c r="F16" s="14"/>
      <c r="G16" s="14"/>
      <c r="H16" s="14"/>
      <c r="I16" s="14"/>
      <c r="J16" s="14"/>
      <c r="K16" s="14"/>
      <c r="L16" s="14"/>
      <c r="M16" s="14"/>
      <c r="N16" s="38"/>
    </row>
    <row r="17" spans="4:14" ht="15" customHeight="1" x14ac:dyDescent="0.25">
      <c r="D17" s="50" t="s">
        <v>230</v>
      </c>
      <c r="E17" s="44">
        <v>51750</v>
      </c>
      <c r="F17" s="14"/>
      <c r="G17" s="14"/>
      <c r="H17" s="14"/>
      <c r="I17" s="14"/>
      <c r="J17" s="14"/>
      <c r="K17" s="14"/>
      <c r="L17" s="14"/>
      <c r="M17" s="14"/>
      <c r="N17" s="38"/>
    </row>
    <row r="18" spans="4:14" ht="15" customHeight="1" x14ac:dyDescent="0.25">
      <c r="D18" s="44" t="s">
        <v>231</v>
      </c>
      <c r="E18" s="45">
        <f>+M3</f>
        <v>86250</v>
      </c>
      <c r="F18" s="14"/>
      <c r="G18" s="14"/>
      <c r="H18" s="14"/>
      <c r="I18" s="14"/>
      <c r="J18" s="14"/>
      <c r="K18" s="14"/>
      <c r="L18" s="14"/>
      <c r="M18" s="14"/>
      <c r="N18" s="38"/>
    </row>
    <row r="19" spans="4:14" ht="15" customHeight="1" x14ac:dyDescent="0.25">
      <c r="D19" s="44" t="s">
        <v>232</v>
      </c>
      <c r="E19" s="45">
        <v>90000</v>
      </c>
      <c r="F19" s="14"/>
      <c r="G19" s="14"/>
      <c r="H19" s="14"/>
      <c r="I19" s="14"/>
      <c r="J19" s="14"/>
      <c r="K19" s="14"/>
      <c r="L19" s="14"/>
      <c r="M19" s="14"/>
      <c r="N19" s="38"/>
    </row>
    <row r="20" spans="4:14" ht="15" customHeight="1" x14ac:dyDescent="0.25">
      <c r="D20" s="44" t="s">
        <v>233</v>
      </c>
      <c r="E20" s="45">
        <v>150000</v>
      </c>
      <c r="F20" s="14"/>
      <c r="G20" s="14"/>
      <c r="H20" s="14"/>
      <c r="I20" s="14"/>
      <c r="J20" s="14"/>
      <c r="K20" s="14"/>
      <c r="L20" s="14"/>
      <c r="M20" s="14"/>
      <c r="N20" s="51"/>
    </row>
    <row r="21" spans="4:14" ht="13.8" x14ac:dyDescent="0.25">
      <c r="D21" s="44"/>
      <c r="E21" s="45"/>
      <c r="F21" s="14"/>
      <c r="G21" s="14"/>
      <c r="H21" s="14"/>
      <c r="I21" s="14"/>
      <c r="J21" s="14"/>
      <c r="K21" s="14"/>
      <c r="L21" s="14"/>
      <c r="M21" s="14"/>
      <c r="N21" s="51"/>
    </row>
    <row r="22" spans="4:14" ht="15" customHeight="1" x14ac:dyDescent="0.25">
      <c r="D22" s="44" t="s">
        <v>179</v>
      </c>
      <c r="E22" s="45">
        <f>+E18-E17</f>
        <v>34500</v>
      </c>
      <c r="F22" s="14"/>
      <c r="G22" s="14"/>
      <c r="H22" s="14"/>
      <c r="I22" s="14"/>
      <c r="J22" s="14"/>
      <c r="K22" s="14"/>
      <c r="L22" s="14"/>
      <c r="M22" s="14"/>
      <c r="N22" s="38"/>
    </row>
    <row r="23" spans="4:14" ht="15" customHeight="1" x14ac:dyDescent="0.25">
      <c r="D23" s="44" t="s">
        <v>180</v>
      </c>
      <c r="E23" s="45">
        <f>+E20-E19</f>
        <v>60000</v>
      </c>
      <c r="F23" s="14"/>
      <c r="G23" s="14"/>
      <c r="H23" s="14"/>
      <c r="I23" s="14"/>
      <c r="J23" s="14"/>
      <c r="K23" s="14"/>
      <c r="L23" s="14"/>
      <c r="M23" s="14"/>
      <c r="N23" s="38"/>
    </row>
    <row r="24" spans="4:14" ht="15" customHeight="1" x14ac:dyDescent="0.25">
      <c r="D24" s="46" t="s">
        <v>181</v>
      </c>
      <c r="E24" s="52">
        <f>+E22/E23</f>
        <v>0.57499999999999996</v>
      </c>
      <c r="F24" s="14"/>
      <c r="G24" s="14"/>
      <c r="H24" s="14"/>
      <c r="I24" s="14"/>
      <c r="J24" s="14"/>
      <c r="K24" s="14"/>
      <c r="L24" s="14"/>
      <c r="M24" s="14"/>
      <c r="N24" s="38"/>
    </row>
    <row r="25" spans="4:14" ht="15" customHeight="1" x14ac:dyDescent="0.25">
      <c r="D25" s="47" t="s">
        <v>97</v>
      </c>
      <c r="E25" s="48">
        <f>+E23*E24</f>
        <v>34500</v>
      </c>
      <c r="F25" s="14"/>
      <c r="G25" s="14"/>
      <c r="H25" s="14"/>
      <c r="I25" s="14"/>
      <c r="J25" s="14"/>
      <c r="K25" s="14"/>
      <c r="L25" s="14"/>
      <c r="M25" s="14"/>
      <c r="N25" s="38"/>
    </row>
    <row r="26" spans="4:14" x14ac:dyDescent="0.25"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</sheetData>
  <sheetProtection algorithmName="SHA-512" hashValue="/MP8x/JP6LXahHHxGSAfOa3dKPQ36EsfVc8RHt035VIMkw6w+EtFInMze1wjcAyapl3m89dZCwkjLyhk0rW+mA==" saltValue="lHIfTdUIbFLl06yGgmN3vQ==" spinCount="100000" sheet="1" objects="1" scenarios="1"/>
  <mergeCells count="1">
    <mergeCell ref="D1:M1"/>
  </mergeCells>
  <phoneticPr fontId="2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C1:K17"/>
  <sheetViews>
    <sheetView topLeftCell="B7" zoomScale="110" zoomScaleNormal="110" workbookViewId="0">
      <selection activeCell="M14" sqref="M14"/>
    </sheetView>
  </sheetViews>
  <sheetFormatPr baseColWidth="10" defaultRowHeight="13.8" x14ac:dyDescent="0.25"/>
  <cols>
    <col min="1" max="2" width="7.44140625" style="55" customWidth="1"/>
    <col min="3" max="3" width="8.6640625" style="54" customWidth="1"/>
    <col min="4" max="4" width="33" style="55" bestFit="1" customWidth="1"/>
    <col min="5" max="256" width="11.44140625" style="55"/>
    <col min="257" max="257" width="22.6640625" style="55" customWidth="1"/>
    <col min="258" max="512" width="11.44140625" style="55"/>
    <col min="513" max="513" width="22.6640625" style="55" customWidth="1"/>
    <col min="514" max="768" width="11.44140625" style="55"/>
    <col min="769" max="769" width="22.6640625" style="55" customWidth="1"/>
    <col min="770" max="1024" width="11.44140625" style="55"/>
    <col min="1025" max="1025" width="22.6640625" style="55" customWidth="1"/>
    <col min="1026" max="1280" width="11.44140625" style="55"/>
    <col min="1281" max="1281" width="22.6640625" style="55" customWidth="1"/>
    <col min="1282" max="1536" width="11.44140625" style="55"/>
    <col min="1537" max="1537" width="22.6640625" style="55" customWidth="1"/>
    <col min="1538" max="1792" width="11.44140625" style="55"/>
    <col min="1793" max="1793" width="22.6640625" style="55" customWidth="1"/>
    <col min="1794" max="2048" width="11.44140625" style="55"/>
    <col min="2049" max="2049" width="22.6640625" style="55" customWidth="1"/>
    <col min="2050" max="2304" width="11.44140625" style="55"/>
    <col min="2305" max="2305" width="22.6640625" style="55" customWidth="1"/>
    <col min="2306" max="2560" width="11.44140625" style="55"/>
    <col min="2561" max="2561" width="22.6640625" style="55" customWidth="1"/>
    <col min="2562" max="2816" width="11.44140625" style="55"/>
    <col min="2817" max="2817" width="22.6640625" style="55" customWidth="1"/>
    <col min="2818" max="3072" width="11.44140625" style="55"/>
    <col min="3073" max="3073" width="22.6640625" style="55" customWidth="1"/>
    <col min="3074" max="3328" width="11.44140625" style="55"/>
    <col min="3329" max="3329" width="22.6640625" style="55" customWidth="1"/>
    <col min="3330" max="3584" width="11.44140625" style="55"/>
    <col min="3585" max="3585" width="22.6640625" style="55" customWidth="1"/>
    <col min="3586" max="3840" width="11.44140625" style="55"/>
    <col min="3841" max="3841" width="22.6640625" style="55" customWidth="1"/>
    <col min="3842" max="4096" width="11.44140625" style="55"/>
    <col min="4097" max="4097" width="22.6640625" style="55" customWidth="1"/>
    <col min="4098" max="4352" width="11.44140625" style="55"/>
    <col min="4353" max="4353" width="22.6640625" style="55" customWidth="1"/>
    <col min="4354" max="4608" width="11.44140625" style="55"/>
    <col min="4609" max="4609" width="22.6640625" style="55" customWidth="1"/>
    <col min="4610" max="4864" width="11.44140625" style="55"/>
    <col min="4865" max="4865" width="22.6640625" style="55" customWidth="1"/>
    <col min="4866" max="5120" width="11.44140625" style="55"/>
    <col min="5121" max="5121" width="22.6640625" style="55" customWidth="1"/>
    <col min="5122" max="5376" width="11.44140625" style="55"/>
    <col min="5377" max="5377" width="22.6640625" style="55" customWidth="1"/>
    <col min="5378" max="5632" width="11.44140625" style="55"/>
    <col min="5633" max="5633" width="22.6640625" style="55" customWidth="1"/>
    <col min="5634" max="5888" width="11.44140625" style="55"/>
    <col min="5889" max="5889" width="22.6640625" style="55" customWidth="1"/>
    <col min="5890" max="6144" width="11.44140625" style="55"/>
    <col min="6145" max="6145" width="22.6640625" style="55" customWidth="1"/>
    <col min="6146" max="6400" width="11.44140625" style="55"/>
    <col min="6401" max="6401" width="22.6640625" style="55" customWidth="1"/>
    <col min="6402" max="6656" width="11.44140625" style="55"/>
    <col min="6657" max="6657" width="22.6640625" style="55" customWidth="1"/>
    <col min="6658" max="6912" width="11.44140625" style="55"/>
    <col min="6913" max="6913" width="22.6640625" style="55" customWidth="1"/>
    <col min="6914" max="7168" width="11.44140625" style="55"/>
    <col min="7169" max="7169" width="22.6640625" style="55" customWidth="1"/>
    <col min="7170" max="7424" width="11.44140625" style="55"/>
    <col min="7425" max="7425" width="22.6640625" style="55" customWidth="1"/>
    <col min="7426" max="7680" width="11.44140625" style="55"/>
    <col min="7681" max="7681" width="22.6640625" style="55" customWidth="1"/>
    <col min="7682" max="7936" width="11.44140625" style="55"/>
    <col min="7937" max="7937" width="22.6640625" style="55" customWidth="1"/>
    <col min="7938" max="8192" width="11.44140625" style="55"/>
    <col min="8193" max="8193" width="22.6640625" style="55" customWidth="1"/>
    <col min="8194" max="8448" width="11.44140625" style="55"/>
    <col min="8449" max="8449" width="22.6640625" style="55" customWidth="1"/>
    <col min="8450" max="8704" width="11.44140625" style="55"/>
    <col min="8705" max="8705" width="22.6640625" style="55" customWidth="1"/>
    <col min="8706" max="8960" width="11.44140625" style="55"/>
    <col min="8961" max="8961" width="22.6640625" style="55" customWidth="1"/>
    <col min="8962" max="9216" width="11.44140625" style="55"/>
    <col min="9217" max="9217" width="22.6640625" style="55" customWidth="1"/>
    <col min="9218" max="9472" width="11.44140625" style="55"/>
    <col min="9473" max="9473" width="22.6640625" style="55" customWidth="1"/>
    <col min="9474" max="9728" width="11.44140625" style="55"/>
    <col min="9729" max="9729" width="22.6640625" style="55" customWidth="1"/>
    <col min="9730" max="9984" width="11.44140625" style="55"/>
    <col min="9985" max="9985" width="22.6640625" style="55" customWidth="1"/>
    <col min="9986" max="10240" width="11.44140625" style="55"/>
    <col min="10241" max="10241" width="22.6640625" style="55" customWidth="1"/>
    <col min="10242" max="10496" width="11.44140625" style="55"/>
    <col min="10497" max="10497" width="22.6640625" style="55" customWidth="1"/>
    <col min="10498" max="10752" width="11.44140625" style="55"/>
    <col min="10753" max="10753" width="22.6640625" style="55" customWidth="1"/>
    <col min="10754" max="11008" width="11.44140625" style="55"/>
    <col min="11009" max="11009" width="22.6640625" style="55" customWidth="1"/>
    <col min="11010" max="11264" width="11.44140625" style="55"/>
    <col min="11265" max="11265" width="22.6640625" style="55" customWidth="1"/>
    <col min="11266" max="11520" width="11.44140625" style="55"/>
    <col min="11521" max="11521" width="22.6640625" style="55" customWidth="1"/>
    <col min="11522" max="11776" width="11.44140625" style="55"/>
    <col min="11777" max="11777" width="22.6640625" style="55" customWidth="1"/>
    <col min="11778" max="12032" width="11.44140625" style="55"/>
    <col min="12033" max="12033" width="22.6640625" style="55" customWidth="1"/>
    <col min="12034" max="12288" width="11.44140625" style="55"/>
    <col min="12289" max="12289" width="22.6640625" style="55" customWidth="1"/>
    <col min="12290" max="12544" width="11.44140625" style="55"/>
    <col min="12545" max="12545" width="22.6640625" style="55" customWidth="1"/>
    <col min="12546" max="12800" width="11.44140625" style="55"/>
    <col min="12801" max="12801" width="22.6640625" style="55" customWidth="1"/>
    <col min="12802" max="13056" width="11.44140625" style="55"/>
    <col min="13057" max="13057" width="22.6640625" style="55" customWidth="1"/>
    <col min="13058" max="13312" width="11.44140625" style="55"/>
    <col min="13313" max="13313" width="22.6640625" style="55" customWidth="1"/>
    <col min="13314" max="13568" width="11.44140625" style="55"/>
    <col min="13569" max="13569" width="22.6640625" style="55" customWidth="1"/>
    <col min="13570" max="13824" width="11.44140625" style="55"/>
    <col min="13825" max="13825" width="22.6640625" style="55" customWidth="1"/>
    <col min="13826" max="14080" width="11.44140625" style="55"/>
    <col min="14081" max="14081" width="22.6640625" style="55" customWidth="1"/>
    <col min="14082" max="14336" width="11.44140625" style="55"/>
    <col min="14337" max="14337" width="22.6640625" style="55" customWidth="1"/>
    <col min="14338" max="14592" width="11.44140625" style="55"/>
    <col min="14593" max="14593" width="22.6640625" style="55" customWidth="1"/>
    <col min="14594" max="14848" width="11.44140625" style="55"/>
    <col min="14849" max="14849" width="22.6640625" style="55" customWidth="1"/>
    <col min="14850" max="15104" width="11.44140625" style="55"/>
    <col min="15105" max="15105" width="22.6640625" style="55" customWidth="1"/>
    <col min="15106" max="15360" width="11.44140625" style="55"/>
    <col min="15361" max="15361" width="22.6640625" style="55" customWidth="1"/>
    <col min="15362" max="15616" width="11.44140625" style="55"/>
    <col min="15617" max="15617" width="22.6640625" style="55" customWidth="1"/>
    <col min="15618" max="15872" width="11.44140625" style="55"/>
    <col min="15873" max="15873" width="22.6640625" style="55" customWidth="1"/>
    <col min="15874" max="16128" width="11.44140625" style="55"/>
    <col min="16129" max="16129" width="22.6640625" style="55" customWidth="1"/>
    <col min="16130" max="16383" width="11.44140625" style="55"/>
    <col min="16384" max="16384" width="11.44140625" style="55" customWidth="1"/>
  </cols>
  <sheetData>
    <row r="1" spans="3:11" s="15" customFormat="1" ht="19.95" customHeight="1" x14ac:dyDescent="0.3">
      <c r="C1" s="14"/>
      <c r="D1" s="353" t="s">
        <v>297</v>
      </c>
      <c r="E1" s="353"/>
      <c r="F1" s="353"/>
      <c r="G1" s="353"/>
      <c r="H1" s="353"/>
      <c r="I1" s="353"/>
      <c r="J1" s="353"/>
      <c r="K1" s="53"/>
    </row>
    <row r="2" spans="3:11" ht="11.4" customHeight="1" x14ac:dyDescent="0.25"/>
    <row r="3" spans="3:11" x14ac:dyDescent="0.25">
      <c r="D3" s="16"/>
      <c r="E3" s="16" t="s">
        <v>1</v>
      </c>
      <c r="F3" s="16" t="s">
        <v>2</v>
      </c>
      <c r="G3" s="16" t="s">
        <v>13</v>
      </c>
      <c r="H3" s="16" t="s">
        <v>14</v>
      </c>
      <c r="I3" s="16" t="s">
        <v>15</v>
      </c>
      <c r="J3" s="17" t="s">
        <v>16</v>
      </c>
    </row>
    <row r="4" spans="3:11" x14ac:dyDescent="0.25">
      <c r="D4" s="18" t="s">
        <v>28</v>
      </c>
      <c r="E4" s="19"/>
      <c r="F4" s="19">
        <v>12000</v>
      </c>
      <c r="G4" s="19">
        <f>+F4*1.1</f>
        <v>13200.000000000002</v>
      </c>
      <c r="H4" s="19">
        <f>+G4*1.1</f>
        <v>14520.000000000004</v>
      </c>
      <c r="I4" s="19">
        <f>+H4*1.1</f>
        <v>15972.000000000005</v>
      </c>
      <c r="J4" s="20">
        <f>+I4</f>
        <v>15972.000000000005</v>
      </c>
    </row>
    <row r="5" spans="3:11" x14ac:dyDescent="0.25">
      <c r="D5" s="18" t="s">
        <v>182</v>
      </c>
      <c r="E5" s="21">
        <v>0.09</v>
      </c>
      <c r="F5" s="21">
        <v>0.09</v>
      </c>
      <c r="G5" s="21">
        <v>0.09</v>
      </c>
      <c r="H5" s="21">
        <v>0.09</v>
      </c>
      <c r="I5" s="21">
        <v>0.09</v>
      </c>
      <c r="J5" s="22"/>
    </row>
    <row r="6" spans="3:11" x14ac:dyDescent="0.25">
      <c r="D6" s="23" t="s">
        <v>183</v>
      </c>
      <c r="E6" s="24"/>
      <c r="F6" s="24">
        <v>0.05</v>
      </c>
      <c r="G6" s="24">
        <v>0.05</v>
      </c>
      <c r="H6" s="24">
        <v>0.05</v>
      </c>
      <c r="I6" s="24">
        <v>0.05</v>
      </c>
      <c r="J6" s="25">
        <v>0.05</v>
      </c>
    </row>
    <row r="7" spans="3:11" ht="21" customHeight="1" x14ac:dyDescent="0.25">
      <c r="D7" s="26"/>
      <c r="E7" s="26"/>
      <c r="F7" s="26"/>
      <c r="G7" s="26"/>
      <c r="H7" s="26"/>
      <c r="I7" s="26"/>
      <c r="J7" s="26"/>
    </row>
    <row r="8" spans="3:11" x14ac:dyDescent="0.25">
      <c r="D8" s="27"/>
      <c r="E8" s="16" t="s">
        <v>1</v>
      </c>
      <c r="F8" s="16" t="s">
        <v>2</v>
      </c>
      <c r="G8" s="16" t="s">
        <v>13</v>
      </c>
      <c r="H8" s="16" t="s">
        <v>14</v>
      </c>
      <c r="I8" s="16" t="s">
        <v>15</v>
      </c>
      <c r="J8" s="17" t="s">
        <v>16</v>
      </c>
    </row>
    <row r="9" spans="3:11" x14ac:dyDescent="0.25">
      <c r="D9" s="18" t="s">
        <v>27</v>
      </c>
      <c r="E9" s="28">
        <f>-F4*E5</f>
        <v>-1080</v>
      </c>
      <c r="F9" s="28">
        <f t="shared" ref="F9:I9" si="0">-G4*F5</f>
        <v>-1188.0000000000002</v>
      </c>
      <c r="G9" s="28">
        <f t="shared" si="0"/>
        <v>-1306.8000000000002</v>
      </c>
      <c r="H9" s="28">
        <f>-I4*H5</f>
        <v>-1437.4800000000005</v>
      </c>
      <c r="I9" s="28">
        <f t="shared" si="0"/>
        <v>-1437.4800000000005</v>
      </c>
      <c r="J9" s="29">
        <f>-K4*0.09</f>
        <v>0</v>
      </c>
    </row>
    <row r="10" spans="3:11" x14ac:dyDescent="0.25">
      <c r="D10" s="18" t="s">
        <v>45</v>
      </c>
      <c r="E10" s="28">
        <v>0</v>
      </c>
      <c r="F10" s="28">
        <f>-F6*F4</f>
        <v>-600</v>
      </c>
      <c r="G10" s="28">
        <f t="shared" ref="G10:J10" si="1">-G6*G4</f>
        <v>-660.00000000000011</v>
      </c>
      <c r="H10" s="28">
        <f t="shared" si="1"/>
        <v>-726.00000000000023</v>
      </c>
      <c r="I10" s="28">
        <f t="shared" si="1"/>
        <v>-798.60000000000036</v>
      </c>
      <c r="J10" s="29">
        <f t="shared" si="1"/>
        <v>-798.60000000000036</v>
      </c>
    </row>
    <row r="11" spans="3:11" x14ac:dyDescent="0.25">
      <c r="D11" s="267" t="s">
        <v>214</v>
      </c>
      <c r="E11" s="268">
        <f t="shared" ref="E11:J11" si="2">+E9+E10</f>
        <v>-1080</v>
      </c>
      <c r="F11" s="268">
        <f t="shared" si="2"/>
        <v>-1788.0000000000002</v>
      </c>
      <c r="G11" s="268">
        <f t="shared" si="2"/>
        <v>-1966.8000000000002</v>
      </c>
      <c r="H11" s="268">
        <f t="shared" si="2"/>
        <v>-2163.4800000000005</v>
      </c>
      <c r="I11" s="268">
        <f t="shared" si="2"/>
        <v>-2236.0800000000008</v>
      </c>
      <c r="J11" s="269">
        <f t="shared" si="2"/>
        <v>-798.60000000000036</v>
      </c>
    </row>
    <row r="12" spans="3:11" ht="21" customHeight="1" x14ac:dyDescent="0.25">
      <c r="D12" s="26"/>
      <c r="E12" s="26"/>
      <c r="F12" s="26"/>
      <c r="G12" s="26"/>
      <c r="H12" s="26"/>
      <c r="I12" s="26"/>
      <c r="J12" s="26"/>
    </row>
    <row r="13" spans="3:11" x14ac:dyDescent="0.25">
      <c r="D13" s="27"/>
      <c r="E13" s="16" t="s">
        <v>1</v>
      </c>
      <c r="F13" s="16" t="s">
        <v>2</v>
      </c>
      <c r="G13" s="16" t="s">
        <v>13</v>
      </c>
      <c r="H13" s="16" t="s">
        <v>14</v>
      </c>
      <c r="I13" s="16" t="s">
        <v>15</v>
      </c>
      <c r="J13" s="17" t="s">
        <v>16</v>
      </c>
    </row>
    <row r="14" spans="3:11" x14ac:dyDescent="0.25">
      <c r="D14" s="30" t="s">
        <v>344</v>
      </c>
      <c r="E14" s="31">
        <f>+E11</f>
        <v>-1080</v>
      </c>
      <c r="F14" s="31">
        <f t="shared" ref="F14:J14" si="3">+F11</f>
        <v>-1788.0000000000002</v>
      </c>
      <c r="G14" s="31">
        <f t="shared" si="3"/>
        <v>-1966.8000000000002</v>
      </c>
      <c r="H14" s="31">
        <f t="shared" si="3"/>
        <v>-2163.4800000000005</v>
      </c>
      <c r="I14" s="31">
        <f t="shared" si="3"/>
        <v>-2236.0800000000008</v>
      </c>
      <c r="J14" s="32">
        <f t="shared" si="3"/>
        <v>-798.60000000000036</v>
      </c>
    </row>
    <row r="15" spans="3:11" ht="21" customHeight="1" x14ac:dyDescent="0.25">
      <c r="D15" s="26"/>
      <c r="E15" s="26"/>
      <c r="F15" s="26"/>
      <c r="G15" s="26"/>
      <c r="H15" s="26"/>
      <c r="I15" s="26"/>
      <c r="J15" s="26"/>
    </row>
    <row r="16" spans="3:11" x14ac:dyDescent="0.25">
      <c r="D16" s="27"/>
      <c r="E16" s="16" t="s">
        <v>1</v>
      </c>
      <c r="F16" s="16" t="s">
        <v>2</v>
      </c>
      <c r="G16" s="16" t="s">
        <v>13</v>
      </c>
      <c r="H16" s="16" t="s">
        <v>14</v>
      </c>
      <c r="I16" s="16" t="s">
        <v>15</v>
      </c>
      <c r="J16" s="17" t="s">
        <v>16</v>
      </c>
    </row>
    <row r="17" spans="4:10" x14ac:dyDescent="0.25">
      <c r="D17" s="30" t="s">
        <v>345</v>
      </c>
      <c r="E17" s="33">
        <f>+E11</f>
        <v>-1080</v>
      </c>
      <c r="F17" s="33">
        <f>+F11-E11</f>
        <v>-708.00000000000023</v>
      </c>
      <c r="G17" s="33">
        <f>+G11-F11</f>
        <v>-178.79999999999995</v>
      </c>
      <c r="H17" s="33">
        <f>+H11-G11</f>
        <v>-196.68000000000029</v>
      </c>
      <c r="I17" s="33">
        <f>+I11-H11</f>
        <v>-72.600000000000364</v>
      </c>
      <c r="J17" s="34">
        <f>+J11-I11</f>
        <v>1437.4800000000005</v>
      </c>
    </row>
  </sheetData>
  <sheetProtection algorithmName="SHA-512" hashValue="8tyrUMUW9RBT0gCDyZyNobt6S4iQzodXiAAsRyqZ/eZStRByO2V6q4oX4VDN5Q0+2JzfflkSe1QvurVn8QB8jQ==" saltValue="ATUH5k4dMVcI1wXILFh4YA==" spinCount="100000" sheet="1" objects="1" scenarios="1"/>
  <mergeCells count="1">
    <mergeCell ref="D1:J1"/>
  </mergeCells>
  <phoneticPr fontId="2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L16"/>
  <sheetViews>
    <sheetView topLeftCell="A4" zoomScaleNormal="100" workbookViewId="0">
      <selection activeCell="G17" sqref="G17"/>
    </sheetView>
  </sheetViews>
  <sheetFormatPr baseColWidth="10" defaultColWidth="11.44140625" defaultRowHeight="13.2" x14ac:dyDescent="0.25"/>
  <cols>
    <col min="1" max="2" width="11.44140625" style="2"/>
    <col min="3" max="3" width="17.44140625" style="2" customWidth="1"/>
    <col min="4" max="8" width="12.5546875" style="2" customWidth="1"/>
    <col min="9" max="9" width="11.44140625" style="2"/>
    <col min="10" max="10" width="17.5546875" style="2" customWidth="1"/>
    <col min="11" max="16384" width="11.44140625" style="2"/>
  </cols>
  <sheetData>
    <row r="1" spans="3:12" s="12" customFormat="1" ht="19.95" customHeight="1" x14ac:dyDescent="0.25">
      <c r="C1" s="353" t="s">
        <v>300</v>
      </c>
      <c r="D1" s="353"/>
      <c r="E1" s="353"/>
      <c r="F1" s="353"/>
      <c r="G1" s="353"/>
      <c r="H1" s="353"/>
      <c r="I1" s="74"/>
      <c r="J1" s="2"/>
      <c r="K1" s="74"/>
    </row>
    <row r="2" spans="3:12" x14ac:dyDescent="0.25">
      <c r="C2" s="36"/>
      <c r="D2" s="36"/>
      <c r="E2" s="36"/>
      <c r="F2" s="36"/>
      <c r="G2" s="36"/>
      <c r="H2" s="36"/>
      <c r="I2" s="36"/>
      <c r="J2" s="36"/>
      <c r="K2" s="36"/>
    </row>
    <row r="3" spans="3:12" ht="15" customHeight="1" x14ac:dyDescent="0.25">
      <c r="C3" s="294"/>
      <c r="D3" s="295" t="s">
        <v>46</v>
      </c>
      <c r="E3" s="295" t="s">
        <v>47</v>
      </c>
      <c r="F3" s="295" t="s">
        <v>48</v>
      </c>
      <c r="G3" s="295" t="s">
        <v>40</v>
      </c>
      <c r="H3" s="295" t="s">
        <v>49</v>
      </c>
      <c r="I3" s="56"/>
    </row>
    <row r="4" spans="3:12" ht="15" customHeight="1" x14ac:dyDescent="0.25">
      <c r="C4" s="57" t="s">
        <v>50</v>
      </c>
      <c r="D4" s="58">
        <v>320</v>
      </c>
      <c r="E4" s="58">
        <v>400</v>
      </c>
      <c r="F4" s="58">
        <f>+E4+15</f>
        <v>415</v>
      </c>
      <c r="G4" s="58">
        <f>+D4*F4</f>
        <v>132800</v>
      </c>
      <c r="H4" s="58">
        <f>+D4*E4</f>
        <v>128000</v>
      </c>
      <c r="I4" s="56"/>
    </row>
    <row r="5" spans="3:12" ht="15" customHeight="1" x14ac:dyDescent="0.25">
      <c r="C5" s="57" t="s">
        <v>51</v>
      </c>
      <c r="D5" s="58">
        <v>150</v>
      </c>
      <c r="E5" s="58">
        <v>370</v>
      </c>
      <c r="F5" s="58">
        <f>+E5+12</f>
        <v>382</v>
      </c>
      <c r="G5" s="58">
        <f>+D5*F5</f>
        <v>57300</v>
      </c>
      <c r="H5" s="58">
        <f>+D5*E5</f>
        <v>55500</v>
      </c>
      <c r="I5" s="56"/>
    </row>
    <row r="6" spans="3:12" ht="15" customHeight="1" x14ac:dyDescent="0.25">
      <c r="C6" s="57" t="s">
        <v>52</v>
      </c>
      <c r="D6" s="58">
        <v>20</v>
      </c>
      <c r="E6" s="58">
        <v>250</v>
      </c>
      <c r="F6" s="58">
        <f>+E6+14</f>
        <v>264</v>
      </c>
      <c r="G6" s="58">
        <f>+D6*F6</f>
        <v>5280</v>
      </c>
      <c r="H6" s="58">
        <f>+D6*E6</f>
        <v>5000</v>
      </c>
      <c r="I6" s="56"/>
    </row>
    <row r="7" spans="3:12" ht="15" customHeight="1" x14ac:dyDescent="0.25">
      <c r="C7" s="68" t="s">
        <v>53</v>
      </c>
      <c r="D7" s="61">
        <v>1</v>
      </c>
      <c r="E7" s="61">
        <v>1250</v>
      </c>
      <c r="F7" s="61">
        <f>+E7+40</f>
        <v>1290</v>
      </c>
      <c r="G7" s="67">
        <f>+D7*F7</f>
        <v>1290</v>
      </c>
      <c r="H7" s="67">
        <f>+D7*E7</f>
        <v>1250</v>
      </c>
      <c r="I7" s="56"/>
    </row>
    <row r="8" spans="3:12" ht="15" customHeight="1" x14ac:dyDescent="0.25">
      <c r="C8" s="63"/>
      <c r="D8" s="63"/>
      <c r="E8" s="63"/>
      <c r="F8" s="79" t="s">
        <v>54</v>
      </c>
      <c r="G8" s="77">
        <f>SUM(G4:G7)</f>
        <v>196670</v>
      </c>
      <c r="H8" s="62">
        <f>SUM(H4:H7)</f>
        <v>189750</v>
      </c>
      <c r="I8" s="63"/>
      <c r="L8" s="13"/>
    </row>
    <row r="9" spans="3:12" ht="15" customHeight="1" x14ac:dyDescent="0.25">
      <c r="C9" s="63"/>
      <c r="D9" s="63"/>
      <c r="E9" s="63"/>
      <c r="F9" s="79" t="s">
        <v>55</v>
      </c>
      <c r="G9" s="78">
        <f>+G8/30</f>
        <v>6555.666666666667</v>
      </c>
      <c r="H9" s="69">
        <f>+H8/30</f>
        <v>6325</v>
      </c>
      <c r="I9" s="56"/>
      <c r="J9" s="56"/>
      <c r="K9" s="63"/>
    </row>
    <row r="12" spans="3:12" ht="15" customHeight="1" x14ac:dyDescent="0.25">
      <c r="C12" s="71" t="s">
        <v>26</v>
      </c>
      <c r="D12" s="70">
        <f>+G9*1.5</f>
        <v>9833.5</v>
      </c>
    </row>
    <row r="13" spans="3:12" ht="15" customHeight="1" x14ac:dyDescent="0.25">
      <c r="C13" s="72" t="s">
        <v>27</v>
      </c>
      <c r="D13" s="59">
        <f>+H9*15</f>
        <v>94875</v>
      </c>
    </row>
    <row r="14" spans="3:12" ht="15" customHeight="1" x14ac:dyDescent="0.25">
      <c r="C14" s="73" t="s">
        <v>56</v>
      </c>
      <c r="D14" s="60">
        <f>+((H4+H5+H6)/30)*15</f>
        <v>94250</v>
      </c>
    </row>
    <row r="15" spans="3:12" ht="15" customHeight="1" x14ac:dyDescent="0.25">
      <c r="C15" s="72" t="s">
        <v>57</v>
      </c>
      <c r="D15" s="59">
        <f>+H7</f>
        <v>1250</v>
      </c>
    </row>
    <row r="16" spans="3:12" ht="15.6" customHeight="1" x14ac:dyDescent="0.25">
      <c r="C16" s="75" t="s">
        <v>58</v>
      </c>
      <c r="D16" s="76">
        <f>-D12-D13+D14+D15</f>
        <v>-9208.5</v>
      </c>
    </row>
  </sheetData>
  <sheetProtection algorithmName="SHA-512" hashValue="q5oFZ4Djf6Yj1o9yX9z1xa3UqtkJl3DOTGiU2wfa3Y4jKrwOFB7OwFZdieq/k7h7NgBHWqOmUDTB+j8w3ZYUIQ==" saltValue="8gejmKF1fYtNCWapBJNXow==" spinCount="100000" sheet="1" objects="1" scenarios="1"/>
  <mergeCells count="1">
    <mergeCell ref="C1:H1"/>
  </mergeCells>
  <pageMargins left="0.7" right="0.7" top="0.75" bottom="0.75" header="0.3" footer="0.3"/>
  <pageSetup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C1:H11"/>
  <sheetViews>
    <sheetView topLeftCell="A7" zoomScaleNormal="100" workbookViewId="0">
      <selection activeCell="J12" sqref="J12"/>
    </sheetView>
  </sheetViews>
  <sheetFormatPr baseColWidth="10" defaultColWidth="11.44140625" defaultRowHeight="13.2" x14ac:dyDescent="0.25"/>
  <cols>
    <col min="1" max="1" width="11.44140625" style="2"/>
    <col min="2" max="2" width="12.6640625" style="2" customWidth="1"/>
    <col min="3" max="3" width="22.44140625" style="36" customWidth="1"/>
    <col min="4" max="8" width="11.44140625" style="36"/>
    <col min="9" max="16384" width="11.44140625" style="2"/>
  </cols>
  <sheetData>
    <row r="1" spans="3:8" s="12" customFormat="1" ht="19.95" customHeight="1" x14ac:dyDescent="0.3">
      <c r="C1" s="353" t="s">
        <v>301</v>
      </c>
      <c r="D1" s="353"/>
      <c r="E1" s="353"/>
      <c r="F1" s="353"/>
      <c r="G1" s="353"/>
      <c r="H1" s="353"/>
    </row>
    <row r="3" spans="3:8" ht="16.2" customHeight="1" x14ac:dyDescent="0.25">
      <c r="C3" s="277"/>
      <c r="D3" s="112" t="s">
        <v>2</v>
      </c>
      <c r="E3" s="112" t="s">
        <v>13</v>
      </c>
      <c r="F3" s="112" t="s">
        <v>14</v>
      </c>
      <c r="G3" s="112" t="s">
        <v>15</v>
      </c>
      <c r="H3" s="113" t="s">
        <v>16</v>
      </c>
    </row>
    <row r="4" spans="3:8" ht="16.2" customHeight="1" x14ac:dyDescent="0.25">
      <c r="C4" s="278" t="s">
        <v>59</v>
      </c>
      <c r="D4" s="64">
        <v>6</v>
      </c>
      <c r="E4" s="64">
        <v>12</v>
      </c>
      <c r="F4" s="64">
        <v>15</v>
      </c>
      <c r="G4" s="64">
        <v>15</v>
      </c>
      <c r="H4" s="279">
        <v>15</v>
      </c>
    </row>
    <row r="5" spans="3:8" ht="16.2" customHeight="1" x14ac:dyDescent="0.25">
      <c r="C5" s="278" t="s">
        <v>60</v>
      </c>
      <c r="D5" s="64">
        <v>21</v>
      </c>
      <c r="E5" s="64">
        <v>22</v>
      </c>
      <c r="F5" s="64">
        <v>24</v>
      </c>
      <c r="G5" s="64">
        <v>24</v>
      </c>
      <c r="H5" s="279">
        <v>24</v>
      </c>
    </row>
    <row r="6" spans="3:8" ht="16.2" customHeight="1" x14ac:dyDescent="0.25">
      <c r="C6" s="278" t="s">
        <v>61</v>
      </c>
      <c r="D6" s="64">
        <v>5</v>
      </c>
      <c r="E6" s="64">
        <v>7</v>
      </c>
      <c r="F6" s="64">
        <v>10</v>
      </c>
      <c r="G6" s="64">
        <v>12</v>
      </c>
      <c r="H6" s="279">
        <v>13</v>
      </c>
    </row>
    <row r="7" spans="3:8" ht="16.2" customHeight="1" x14ac:dyDescent="0.25">
      <c r="C7" s="278" t="s">
        <v>62</v>
      </c>
      <c r="D7" s="64">
        <v>18</v>
      </c>
      <c r="E7" s="64">
        <v>22</v>
      </c>
      <c r="F7" s="64">
        <v>24</v>
      </c>
      <c r="G7" s="64">
        <v>25</v>
      </c>
      <c r="H7" s="279">
        <v>30</v>
      </c>
    </row>
    <row r="8" spans="3:8" ht="16.2" customHeight="1" x14ac:dyDescent="0.25">
      <c r="C8" s="296" t="s">
        <v>298</v>
      </c>
      <c r="D8" s="297">
        <f>-D4-D5-D6+D7</f>
        <v>-14</v>
      </c>
      <c r="E8" s="297">
        <f>-E4-E5-E6+E7</f>
        <v>-19</v>
      </c>
      <c r="F8" s="297">
        <f>-F4-F5-F6+F7</f>
        <v>-25</v>
      </c>
      <c r="G8" s="297">
        <f>-G4-G5-G6+G7</f>
        <v>-26</v>
      </c>
      <c r="H8" s="298">
        <f>-H4-H5-H6+H7</f>
        <v>-22</v>
      </c>
    </row>
    <row r="9" spans="3:8" ht="13.8" x14ac:dyDescent="0.25">
      <c r="C9" s="65"/>
      <c r="D9" s="66"/>
      <c r="E9" s="66"/>
      <c r="F9" s="66"/>
      <c r="G9" s="66"/>
      <c r="H9" s="66"/>
    </row>
    <row r="10" spans="3:8" ht="16.2" customHeight="1" x14ac:dyDescent="0.25">
      <c r="C10" s="326"/>
      <c r="D10" s="327" t="s">
        <v>1</v>
      </c>
      <c r="E10" s="327" t="s">
        <v>2</v>
      </c>
      <c r="F10" s="327" t="s">
        <v>13</v>
      </c>
      <c r="G10" s="327" t="s">
        <v>14</v>
      </c>
      <c r="H10" s="328" t="s">
        <v>15</v>
      </c>
    </row>
    <row r="11" spans="3:8" ht="16.2" customHeight="1" x14ac:dyDescent="0.25">
      <c r="C11" s="280" t="s">
        <v>184</v>
      </c>
      <c r="D11" s="281">
        <f>+D8</f>
        <v>-14</v>
      </c>
      <c r="E11" s="281">
        <f>+E8-D8</f>
        <v>-5</v>
      </c>
      <c r="F11" s="281">
        <f>+F8-E8</f>
        <v>-6</v>
      </c>
      <c r="G11" s="281">
        <f>+G8-F8</f>
        <v>-1</v>
      </c>
      <c r="H11" s="282">
        <f>+H8-G8</f>
        <v>4</v>
      </c>
    </row>
  </sheetData>
  <sheetProtection algorithmName="SHA-512" hashValue="hn97P4bGfZozLDZD68WJ/VeOfeuQxQzK4cr07poThFCraDPjL6+9EUIYnrxd4zfVnqQ0EkKoMoYmFAZOHQx/PQ==" saltValue="6e9jqp+LTAn5JRj6+47u7g==" spinCount="100000" sheet="1" objects="1" scenarios="1"/>
  <mergeCells count="1">
    <mergeCell ref="C1:H1"/>
  </mergeCells>
  <phoneticPr fontId="2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H29"/>
  <sheetViews>
    <sheetView topLeftCell="A17" zoomScaleNormal="100" workbookViewId="0">
      <selection activeCell="J27" sqref="J27"/>
    </sheetView>
  </sheetViews>
  <sheetFormatPr baseColWidth="10" defaultColWidth="11.44140625" defaultRowHeight="13.8" x14ac:dyDescent="0.25"/>
  <cols>
    <col min="1" max="1" width="11.44140625" style="56"/>
    <col min="2" max="2" width="11" style="56" customWidth="1"/>
    <col min="3" max="3" width="24.33203125" style="56" bestFit="1" customWidth="1"/>
    <col min="4" max="16384" width="11.44140625" style="56"/>
  </cols>
  <sheetData>
    <row r="1" spans="2:8" ht="19.95" customHeight="1" x14ac:dyDescent="0.25">
      <c r="C1" s="353" t="s">
        <v>299</v>
      </c>
      <c r="D1" s="353"/>
      <c r="E1" s="353"/>
      <c r="F1" s="353"/>
      <c r="G1" s="353"/>
      <c r="H1" s="353"/>
    </row>
    <row r="3" spans="2:8" x14ac:dyDescent="0.25">
      <c r="C3" s="88" t="s">
        <v>63</v>
      </c>
      <c r="D3" s="87">
        <f>2.4/6</f>
        <v>0.39999999999999997</v>
      </c>
    </row>
    <row r="4" spans="2:8" ht="4.2" customHeight="1" x14ac:dyDescent="0.25">
      <c r="C4" s="86"/>
      <c r="D4" s="82"/>
    </row>
    <row r="5" spans="2:8" x14ac:dyDescent="0.25">
      <c r="C5" s="91" t="s">
        <v>236</v>
      </c>
      <c r="D5" s="92"/>
      <c r="E5" s="92">
        <v>10</v>
      </c>
      <c r="F5" s="92">
        <v>10</v>
      </c>
      <c r="G5" s="92">
        <v>10</v>
      </c>
      <c r="H5" s="92">
        <v>10</v>
      </c>
    </row>
    <row r="6" spans="2:8" ht="9.6" customHeight="1" x14ac:dyDescent="0.25"/>
    <row r="7" spans="2:8" ht="15.6" customHeight="1" x14ac:dyDescent="0.25">
      <c r="C7" s="107" t="s">
        <v>0</v>
      </c>
      <c r="D7" s="108" t="s">
        <v>1</v>
      </c>
      <c r="E7" s="108" t="s">
        <v>2</v>
      </c>
      <c r="F7" s="108" t="s">
        <v>13</v>
      </c>
      <c r="G7" s="108" t="s">
        <v>14</v>
      </c>
      <c r="H7" s="109" t="s">
        <v>15</v>
      </c>
    </row>
    <row r="8" spans="2:8" x14ac:dyDescent="0.25">
      <c r="C8" s="95" t="s">
        <v>64</v>
      </c>
      <c r="D8" s="63"/>
      <c r="E8" s="63">
        <f>+E5*(1-$D$3)</f>
        <v>6.0000000000000009</v>
      </c>
      <c r="F8" s="63">
        <f>+F5*(1-$D$3)</f>
        <v>6.0000000000000009</v>
      </c>
      <c r="G8" s="63">
        <f>+G5*(1-$D$3)</f>
        <v>6.0000000000000009</v>
      </c>
      <c r="H8" s="99">
        <f>+H5*(1-$D$3)</f>
        <v>6.0000000000000009</v>
      </c>
    </row>
    <row r="9" spans="2:8" x14ac:dyDescent="0.25">
      <c r="C9" s="95" t="s">
        <v>65</v>
      </c>
      <c r="D9" s="63"/>
      <c r="E9" s="63">
        <v>25</v>
      </c>
      <c r="F9" s="63">
        <v>25</v>
      </c>
      <c r="G9" s="63">
        <v>25</v>
      </c>
      <c r="H9" s="99">
        <v>25</v>
      </c>
    </row>
    <row r="10" spans="2:8" x14ac:dyDescent="0.25">
      <c r="C10" s="95" t="s">
        <v>66</v>
      </c>
      <c r="D10" s="63"/>
      <c r="E10" s="63"/>
      <c r="F10" s="63"/>
      <c r="G10" s="63"/>
      <c r="H10" s="99">
        <f>-D13</f>
        <v>20</v>
      </c>
    </row>
    <row r="11" spans="2:8" x14ac:dyDescent="0.25">
      <c r="C11" s="95" t="s">
        <v>67</v>
      </c>
      <c r="D11" s="63">
        <f>SUM(D12:D13)</f>
        <v>-120</v>
      </c>
      <c r="E11" s="63">
        <f>SUM(E12:E13)</f>
        <v>0</v>
      </c>
      <c r="F11" s="63">
        <f>SUM(F12:F13)</f>
        <v>0</v>
      </c>
      <c r="G11" s="63">
        <f>SUM(G12:G13)</f>
        <v>0</v>
      </c>
      <c r="H11" s="99">
        <f>SUM(H12:H13)</f>
        <v>0</v>
      </c>
    </row>
    <row r="12" spans="2:8" x14ac:dyDescent="0.25">
      <c r="C12" s="95" t="s">
        <v>3</v>
      </c>
      <c r="D12" s="63">
        <v>-100</v>
      </c>
      <c r="E12" s="63"/>
      <c r="F12" s="63"/>
      <c r="G12" s="63"/>
      <c r="H12" s="99"/>
    </row>
    <row r="13" spans="2:8" x14ac:dyDescent="0.25">
      <c r="C13" s="95" t="s">
        <v>6</v>
      </c>
      <c r="D13" s="63">
        <v>-20</v>
      </c>
      <c r="E13" s="63"/>
      <c r="F13" s="63"/>
      <c r="G13" s="63"/>
      <c r="H13" s="99"/>
    </row>
    <row r="14" spans="2:8" x14ac:dyDescent="0.25">
      <c r="B14" s="83"/>
      <c r="C14" s="110" t="s">
        <v>7</v>
      </c>
      <c r="D14" s="93">
        <f>SUM(D8:D11)</f>
        <v>-120</v>
      </c>
      <c r="E14" s="93">
        <f t="shared" ref="E14:H14" si="0">SUM(E8:E11)</f>
        <v>31</v>
      </c>
      <c r="F14" s="93">
        <f t="shared" si="0"/>
        <v>31</v>
      </c>
      <c r="G14" s="93">
        <f t="shared" si="0"/>
        <v>31</v>
      </c>
      <c r="H14" s="111">
        <f t="shared" si="0"/>
        <v>51</v>
      </c>
    </row>
    <row r="16" spans="2:8" ht="15.6" customHeight="1" x14ac:dyDescent="0.25">
      <c r="C16" s="81" t="s">
        <v>70</v>
      </c>
      <c r="D16" s="112" t="s">
        <v>1</v>
      </c>
      <c r="E16" s="112" t="s">
        <v>2</v>
      </c>
      <c r="F16" s="112" t="s">
        <v>13</v>
      </c>
      <c r="G16" s="112" t="s">
        <v>14</v>
      </c>
      <c r="H16" s="113" t="s">
        <v>15</v>
      </c>
    </row>
    <row r="17" spans="3:8" x14ac:dyDescent="0.25">
      <c r="C17" s="114"/>
      <c r="D17" s="115">
        <v>80</v>
      </c>
      <c r="E17" s="115">
        <v>-4</v>
      </c>
      <c r="F17" s="115">
        <v>-24</v>
      </c>
      <c r="G17" s="115">
        <v>-23</v>
      </c>
      <c r="H17" s="116">
        <v>-42</v>
      </c>
    </row>
    <row r="19" spans="3:8" ht="13.95" customHeight="1" x14ac:dyDescent="0.25">
      <c r="C19" s="88" t="s">
        <v>234</v>
      </c>
      <c r="D19" s="87">
        <f>IRR(D17:H17)</f>
        <v>5.0000000000000266E-2</v>
      </c>
    </row>
    <row r="20" spans="3:8" x14ac:dyDescent="0.25">
      <c r="D20" s="82"/>
    </row>
    <row r="21" spans="3:8" x14ac:dyDescent="0.25">
      <c r="C21" s="101" t="s">
        <v>185</v>
      </c>
      <c r="D21" s="97">
        <v>0.05</v>
      </c>
    </row>
    <row r="22" spans="3:8" x14ac:dyDescent="0.25">
      <c r="C22" s="102" t="s">
        <v>152</v>
      </c>
      <c r="D22" s="98">
        <v>0.11</v>
      </c>
    </row>
    <row r="23" spans="3:8" x14ac:dyDescent="0.25">
      <c r="C23" s="102" t="s">
        <v>63</v>
      </c>
      <c r="D23" s="98">
        <f>+D3</f>
        <v>0.39999999999999997</v>
      </c>
    </row>
    <row r="24" spans="3:8" x14ac:dyDescent="0.25">
      <c r="C24" s="102" t="s">
        <v>290</v>
      </c>
      <c r="D24" s="99">
        <f>-D14-D17</f>
        <v>40</v>
      </c>
      <c r="E24" s="104">
        <f>+D24/(D24+D25)</f>
        <v>0.33333333333333331</v>
      </c>
    </row>
    <row r="25" spans="3:8" x14ac:dyDescent="0.25">
      <c r="C25" s="103" t="s">
        <v>291</v>
      </c>
      <c r="D25" s="100">
        <f>-D14-D24</f>
        <v>80</v>
      </c>
      <c r="E25" s="105">
        <f>100%-E24</f>
        <v>0.66666666666666674</v>
      </c>
    </row>
    <row r="26" spans="3:8" x14ac:dyDescent="0.25">
      <c r="G26" s="84"/>
    </row>
    <row r="27" spans="3:8" x14ac:dyDescent="0.25">
      <c r="C27" s="88" t="s">
        <v>72</v>
      </c>
      <c r="D27" s="87">
        <f>+E25*D21*(1-D23)+E24*D22</f>
        <v>5.6666666666666671E-2</v>
      </c>
      <c r="G27" s="84"/>
    </row>
    <row r="28" spans="3:8" ht="5.4" customHeight="1" x14ac:dyDescent="0.25">
      <c r="D28" s="106"/>
    </row>
    <row r="29" spans="3:8" x14ac:dyDescent="0.25">
      <c r="C29" s="88" t="s">
        <v>44</v>
      </c>
      <c r="D29" s="331">
        <f>+D14+NPV(D27,E14:H14)</f>
        <v>4.2860040312177148</v>
      </c>
    </row>
  </sheetData>
  <sheetProtection algorithmName="SHA-512" hashValue="8zmJ/1RG2ov2fp23wVMqavnbLLWbyNrUfpbnqDrNFjQW6Xx1E4v2+KlFXhr6DPXdJTVGsiIYVbZJdP6k8cTN0A==" saltValue="sKyD6t3imxeiCACpcla4Uw==" spinCount="100000" sheet="1" objects="1" scenarios="1"/>
  <mergeCells count="1">
    <mergeCell ref="C1:H1"/>
  </mergeCells>
  <hyperlinks>
    <hyperlink ref="C29" r:id="rId1" display="VPN@5.67%" xr:uid="{00000000-0004-0000-0800-000000000000}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3</vt:i4>
      </vt:variant>
    </vt:vector>
  </HeadingPairs>
  <TitlesOfParts>
    <vt:vector size="25" baseType="lpstr">
      <vt:lpstr>Inicio</vt:lpstr>
      <vt:lpstr>Ejercicio 1</vt:lpstr>
      <vt:lpstr>Ejercicio 2</vt:lpstr>
      <vt:lpstr>Ejercicio 3</vt:lpstr>
      <vt:lpstr>Ejercicio 4</vt:lpstr>
      <vt:lpstr>Ejercicio 5</vt:lpstr>
      <vt:lpstr>Ejercicio 6</vt:lpstr>
      <vt:lpstr>Ejercicio 7</vt:lpstr>
      <vt:lpstr>Ejercicio 8</vt:lpstr>
      <vt:lpstr>Ejercicio 9</vt:lpstr>
      <vt:lpstr>Ejercicio 10</vt:lpstr>
      <vt:lpstr>Ejercicio 11</vt:lpstr>
      <vt:lpstr>Ejercicio 12</vt:lpstr>
      <vt:lpstr>Ejercicio 13</vt:lpstr>
      <vt:lpstr>Ejercicio 14</vt:lpstr>
      <vt:lpstr>Ejercicio 15</vt:lpstr>
      <vt:lpstr>Ejercicio 16</vt:lpstr>
      <vt:lpstr>Ejercicio 17</vt:lpstr>
      <vt:lpstr>Ejercicio 18</vt:lpstr>
      <vt:lpstr>Ejercicio 19</vt:lpstr>
      <vt:lpstr>Ejercicio 20</vt:lpstr>
      <vt:lpstr>Ejercicio 21</vt:lpstr>
      <vt:lpstr>Inicio!_Hlk52194927</vt:lpstr>
      <vt:lpstr>Inicio!Área_de_impresión</vt:lpstr>
      <vt:lpstr>'Ejercicio 1'!OLE_LINK7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cp:lastPrinted>2020-10-30T17:03:45Z</cp:lastPrinted>
  <dcterms:created xsi:type="dcterms:W3CDTF">2020-01-07T15:07:41Z</dcterms:created>
  <dcterms:modified xsi:type="dcterms:W3CDTF">2021-01-13T16:01:31Z</dcterms:modified>
</cp:coreProperties>
</file>