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UPC\FER\Nueva carpeta\"/>
    </mc:Choice>
  </mc:AlternateContent>
  <xr:revisionPtr revIDLastSave="0" documentId="13_ncr:1_{C088320A-7707-47A8-A05F-ADEA4DC33D14}" xr6:coauthVersionLast="37" xr6:coauthVersionMax="45" xr10:uidLastSave="{00000000-0000-0000-0000-000000000000}"/>
  <workbookProtection workbookAlgorithmName="SHA-512" workbookHashValue="a1OdOLC5rM1Y3xDczzOTAP04vRf20sRgr/LBKTvDxtSB8tKcBgNNbiZPFUmzvyzE6Lm4Ua5TwW0+ZOTomOqtxg==" workbookSaltValue="WE3AeHLOnPqbQxHe1FURlQ==" workbookSpinCount="100000" lockStructure="1"/>
  <bookViews>
    <workbookView xWindow="-120" yWindow="-120" windowWidth="20736" windowHeight="11160" tabRatio="942" xr2:uid="{00000000-000D-0000-FFFF-FFFF00000000}"/>
  </bookViews>
  <sheets>
    <sheet name="Inicio" sheetId="31" r:id="rId1"/>
    <sheet name="Ejercicio 1" sheetId="24" r:id="rId2"/>
    <sheet name="Ejercicio 2" sheetId="8" r:id="rId3"/>
    <sheet name="Ejercicio 3" sheetId="28" r:id="rId4"/>
    <sheet name="Ejercicio 4" sheetId="13" r:id="rId5"/>
    <sheet name="Ejercicio 5" sheetId="10" r:id="rId6"/>
    <sheet name="Escenario Ejercicio 5" sheetId="29" r:id="rId7"/>
    <sheet name="Ejercicio 6" sheetId="14" r:id="rId8"/>
    <sheet name="Escenario Ejercicio 6" sheetId="17" r:id="rId9"/>
    <sheet name="Ejercicio 7" sheetId="12" r:id="rId10"/>
    <sheet name="Escenario Ejercicio 7" sheetId="30" r:id="rId11"/>
    <sheet name="Ejercicio 8" sheetId="9" r:id="rId12"/>
    <sheet name="Ejercicio 9" sheetId="1" r:id="rId13"/>
    <sheet name="Ejercicio 10" sheetId="2" r:id="rId14"/>
    <sheet name="Ejercicio 11" sheetId="3" r:id="rId15"/>
    <sheet name="Ejercicio 12" sheetId="4" r:id="rId16"/>
    <sheet name="Ejercicio 13" sheetId="5" r:id="rId17"/>
    <sheet name="Ejercicio 14" sheetId="19" r:id="rId18"/>
    <sheet name="Ejercicio 15" sheetId="20" r:id="rId19"/>
    <sheet name="Ejercicio 16" sheetId="11" r:id="rId20"/>
    <sheet name="Ejercicio 17" sheetId="21" r:id="rId21"/>
    <sheet name="Ejercicio 18" sheetId="22" r:id="rId22"/>
    <sheet name="Ejercicio 19" sheetId="23" r:id="rId23"/>
  </sheets>
  <definedNames>
    <definedName name="_xlnm.Print_Area" localSheetId="19">'Ejercicio 16'!$C$33:$R$60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8" i="11" l="1"/>
  <c r="F29" i="5"/>
  <c r="G29" i="5"/>
  <c r="H29" i="5"/>
  <c r="I29" i="5"/>
  <c r="E29" i="5"/>
  <c r="D37" i="5"/>
  <c r="L35" i="5"/>
  <c r="K35" i="5"/>
  <c r="J35" i="5"/>
  <c r="L30" i="5"/>
  <c r="L31" i="5" s="1"/>
  <c r="L34" i="5" s="1"/>
  <c r="L38" i="5" s="1"/>
  <c r="K30" i="5"/>
  <c r="K31" i="5" s="1"/>
  <c r="K34" i="5" s="1"/>
  <c r="K38" i="5" s="1"/>
  <c r="J30" i="5"/>
  <c r="J31" i="5" s="1"/>
  <c r="J34" i="5" s="1"/>
  <c r="J38" i="5" s="1"/>
  <c r="H35" i="5"/>
  <c r="F30" i="5"/>
  <c r="I28" i="5"/>
  <c r="H28" i="5"/>
  <c r="G28" i="5"/>
  <c r="F28" i="5"/>
  <c r="E28" i="5"/>
  <c r="E30" i="5" s="1"/>
  <c r="D27" i="5"/>
  <c r="E21" i="3"/>
  <c r="H75" i="13"/>
  <c r="E29" i="8"/>
  <c r="F29" i="8" s="1"/>
  <c r="D81" i="8"/>
  <c r="D76" i="8"/>
  <c r="I30" i="5" l="1"/>
  <c r="G35" i="5"/>
  <c r="F35" i="5"/>
  <c r="G30" i="5"/>
  <c r="G31" i="5" s="1"/>
  <c r="G34" i="5" s="1"/>
  <c r="G38" i="5" s="1"/>
  <c r="F31" i="5"/>
  <c r="F34" i="5" s="1"/>
  <c r="F38" i="5" s="1"/>
  <c r="E35" i="5"/>
  <c r="I35" i="5"/>
  <c r="E31" i="5"/>
  <c r="E34" i="5" s="1"/>
  <c r="D30" i="5"/>
  <c r="D31" i="5" s="1"/>
  <c r="D34" i="5" s="1"/>
  <c r="D38" i="5" s="1"/>
  <c r="H30" i="5"/>
  <c r="H31" i="5" s="1"/>
  <c r="H34" i="5" s="1"/>
  <c r="H38" i="5" s="1"/>
  <c r="I31" i="5"/>
  <c r="I34" i="5" s="1"/>
  <c r="I38" i="5" s="1"/>
  <c r="D12" i="23"/>
  <c r="E38" i="5" l="1"/>
  <c r="D40" i="5" s="1"/>
  <c r="D58" i="4"/>
  <c r="D57" i="4"/>
  <c r="D56" i="4"/>
  <c r="D55" i="4"/>
  <c r="D54" i="4"/>
  <c r="D59" i="4" l="1"/>
  <c r="E11" i="10"/>
  <c r="H26" i="10" s="1"/>
  <c r="F26" i="10"/>
  <c r="G26" i="10"/>
  <c r="I26" i="10"/>
  <c r="E26" i="10"/>
  <c r="E13" i="28"/>
  <c r="E6" i="28"/>
  <c r="D18" i="8"/>
  <c r="E43" i="21"/>
  <c r="E38" i="21"/>
  <c r="AD49" i="11"/>
  <c r="AE39" i="11"/>
  <c r="AE35" i="11"/>
  <c r="X38" i="20"/>
  <c r="X31" i="20"/>
  <c r="X27" i="20"/>
  <c r="D60" i="4" l="1"/>
  <c r="O80" i="19"/>
  <c r="S51" i="19"/>
  <c r="S47" i="19"/>
  <c r="S44" i="19"/>
  <c r="S40" i="19"/>
  <c r="S35" i="19"/>
  <c r="S32" i="19"/>
  <c r="F8" i="5"/>
  <c r="G8" i="5"/>
  <c r="H8" i="5"/>
  <c r="I8" i="5"/>
  <c r="E8" i="5"/>
  <c r="D7" i="5"/>
  <c r="D53" i="1"/>
  <c r="D63" i="1"/>
  <c r="E59" i="1"/>
  <c r="E49" i="1"/>
  <c r="E40" i="9"/>
  <c r="F31" i="9"/>
  <c r="E31" i="9"/>
  <c r="D31" i="9"/>
  <c r="D35" i="9" s="1"/>
  <c r="F22" i="9"/>
  <c r="E22" i="9"/>
  <c r="D22" i="9"/>
  <c r="D34" i="9" s="1"/>
  <c r="F87" i="12"/>
  <c r="E87" i="12"/>
  <c r="D87" i="12"/>
  <c r="E80" i="12"/>
  <c r="E79" i="12"/>
  <c r="D13" i="12"/>
  <c r="E81" i="12" s="1"/>
  <c r="E11" i="12"/>
  <c r="E7" i="12"/>
  <c r="F69" i="12"/>
  <c r="E69" i="12"/>
  <c r="D69" i="12"/>
  <c r="D9" i="12"/>
  <c r="F44" i="14"/>
  <c r="E44" i="14"/>
  <c r="D44" i="14"/>
  <c r="E40" i="14"/>
  <c r="E39" i="14"/>
  <c r="E38" i="14"/>
  <c r="E37" i="14"/>
  <c r="E23" i="14"/>
  <c r="E22" i="14"/>
  <c r="E20" i="14"/>
  <c r="D62" i="10"/>
  <c r="E62" i="10"/>
  <c r="F62" i="10"/>
  <c r="G52" i="10"/>
  <c r="F52" i="10"/>
  <c r="E52" i="10"/>
  <c r="D52" i="10"/>
  <c r="D9" i="13"/>
  <c r="E83" i="13" s="1"/>
  <c r="D8" i="13"/>
  <c r="E47" i="13"/>
  <c r="F61" i="28"/>
  <c r="E61" i="28"/>
  <c r="D61" i="28"/>
  <c r="E29" i="28"/>
  <c r="D15" i="28"/>
  <c r="E32" i="28" s="1"/>
  <c r="F66" i="8"/>
  <c r="E66" i="8"/>
  <c r="D66" i="8"/>
  <c r="D50" i="8"/>
  <c r="D15" i="8"/>
  <c r="E33" i="24"/>
  <c r="E32" i="24"/>
  <c r="E31" i="24"/>
  <c r="E30" i="24"/>
  <c r="E17" i="24"/>
  <c r="E16" i="24"/>
  <c r="E15" i="24"/>
  <c r="E23" i="12" l="1"/>
  <c r="E42" i="13"/>
  <c r="D83" i="13"/>
  <c r="E30" i="8"/>
  <c r="E18" i="24"/>
  <c r="E21" i="14"/>
  <c r="F18" i="4" l="1"/>
  <c r="G18" i="4"/>
  <c r="H18" i="4"/>
  <c r="I18" i="4"/>
  <c r="E18" i="4"/>
  <c r="D20" i="4" l="1"/>
  <c r="E9" i="5" l="1"/>
  <c r="D89" i="12"/>
  <c r="D46" i="14"/>
  <c r="E12" i="10"/>
  <c r="E27" i="10" s="1"/>
  <c r="E10" i="10"/>
  <c r="E25" i="10" s="1"/>
  <c r="E9" i="10"/>
  <c r="E24" i="10" s="1"/>
  <c r="E10" i="28"/>
  <c r="E30" i="28" s="1"/>
  <c r="E7" i="28"/>
  <c r="E25" i="28" s="1"/>
  <c r="E31" i="28"/>
  <c r="F67" i="8"/>
  <c r="F68" i="8"/>
  <c r="F69" i="8"/>
  <c r="F70" i="8"/>
  <c r="F71" i="8"/>
  <c r="F72" i="8"/>
  <c r="E67" i="8"/>
  <c r="E68" i="8"/>
  <c r="E69" i="8"/>
  <c r="E70" i="8"/>
  <c r="E71" i="8"/>
  <c r="E72" i="8"/>
  <c r="G29" i="8"/>
  <c r="H8" i="8"/>
  <c r="H7" i="8"/>
  <c r="H6" i="8"/>
  <c r="E48" i="14" l="1"/>
  <c r="D48" i="14"/>
  <c r="F48" i="14"/>
  <c r="E91" i="12"/>
  <c r="F91" i="12"/>
  <c r="D91" i="12"/>
  <c r="E38" i="13"/>
  <c r="E28" i="28"/>
  <c r="E27" i="28"/>
  <c r="D35" i="10"/>
  <c r="D36" i="10" s="1"/>
  <c r="G39" i="4"/>
  <c r="F49" i="14" l="1"/>
  <c r="F50" i="14" s="1"/>
  <c r="F51" i="14" s="1"/>
  <c r="F92" i="12"/>
  <c r="F93" i="12" s="1"/>
  <c r="F94" i="12" s="1"/>
  <c r="E33" i="28"/>
  <c r="E34" i="28" s="1"/>
  <c r="D59" i="14" l="1"/>
  <c r="D102" i="12"/>
  <c r="D103" i="12" s="1"/>
  <c r="H76" i="13" l="1"/>
  <c r="H77" i="13"/>
  <c r="H78" i="13"/>
  <c r="H79" i="13"/>
  <c r="E70" i="12" l="1"/>
  <c r="F70" i="12"/>
  <c r="E71" i="12"/>
  <c r="F71" i="12"/>
  <c r="E72" i="12"/>
  <c r="F72" i="12"/>
  <c r="E73" i="12"/>
  <c r="F73" i="12"/>
  <c r="E74" i="12"/>
  <c r="F74" i="12"/>
  <c r="E75" i="12"/>
  <c r="F75" i="12"/>
  <c r="D70" i="12"/>
  <c r="D71" i="12"/>
  <c r="D72" i="12"/>
  <c r="D73" i="12"/>
  <c r="D74" i="12"/>
  <c r="D75" i="12"/>
  <c r="K47" i="13" l="1"/>
  <c r="J47" i="13"/>
  <c r="I47" i="13"/>
  <c r="H47" i="13"/>
  <c r="G47" i="13"/>
  <c r="F47" i="13"/>
  <c r="X55" i="11" l="1"/>
  <c r="V55" i="11"/>
  <c r="R47" i="11"/>
  <c r="R37" i="11"/>
  <c r="N37" i="20"/>
  <c r="N29" i="20"/>
  <c r="O86" i="19"/>
  <c r="O84" i="19"/>
  <c r="O82" i="19"/>
  <c r="N86" i="19"/>
  <c r="N84" i="19"/>
  <c r="N82" i="19"/>
  <c r="N80" i="19"/>
  <c r="X60" i="19"/>
  <c r="T60" i="19"/>
  <c r="X57" i="19"/>
  <c r="T57" i="19"/>
  <c r="N63" i="19" l="1"/>
  <c r="AD53" i="11"/>
  <c r="Z55" i="11"/>
  <c r="P82" i="19"/>
  <c r="P80" i="19"/>
  <c r="P86" i="19"/>
  <c r="P84" i="19"/>
  <c r="D70" i="28"/>
  <c r="F65" i="28"/>
  <c r="F62" i="28"/>
  <c r="F63" i="28"/>
  <c r="F64" i="28"/>
  <c r="E62" i="28"/>
  <c r="E63" i="28"/>
  <c r="E64" i="28"/>
  <c r="E65" i="28"/>
  <c r="D62" i="28"/>
  <c r="D63" i="28"/>
  <c r="D64" i="28"/>
  <c r="D65" i="28"/>
  <c r="F31" i="28"/>
  <c r="G28" i="28"/>
  <c r="F32" i="28"/>
  <c r="G32" i="28"/>
  <c r="H32" i="28"/>
  <c r="G54" i="14"/>
  <c r="J56" i="14" s="1"/>
  <c r="F23" i="14"/>
  <c r="G23" i="14"/>
  <c r="H23" i="14"/>
  <c r="I23" i="14"/>
  <c r="H39" i="28" l="1"/>
  <c r="I42" i="13"/>
  <c r="J38" i="13"/>
  <c r="P87" i="19"/>
  <c r="H31" i="28"/>
  <c r="G31" i="28"/>
  <c r="H25" i="28"/>
  <c r="H27" i="28"/>
  <c r="H28" i="28"/>
  <c r="G25" i="28"/>
  <c r="G27" i="28"/>
  <c r="F25" i="28"/>
  <c r="F27" i="28"/>
  <c r="F28" i="28"/>
  <c r="I38" i="13"/>
  <c r="F38" i="13"/>
  <c r="K38" i="13"/>
  <c r="K42" i="13"/>
  <c r="H42" i="13"/>
  <c r="G42" i="13"/>
  <c r="J42" i="13"/>
  <c r="F42" i="13"/>
  <c r="G38" i="13"/>
  <c r="H38" i="13"/>
  <c r="I41" i="12"/>
  <c r="I43" i="12" s="1"/>
  <c r="I44" i="12" s="1"/>
  <c r="I47" i="12" s="1"/>
  <c r="H42" i="12"/>
  <c r="H48" i="12" s="1"/>
  <c r="G42" i="12"/>
  <c r="G48" i="12" s="1"/>
  <c r="F42" i="12"/>
  <c r="F48" i="12" s="1"/>
  <c r="E42" i="12"/>
  <c r="E48" i="12" s="1"/>
  <c r="H38" i="12"/>
  <c r="H43" i="12" s="1"/>
  <c r="H44" i="12" s="1"/>
  <c r="H47" i="12" s="1"/>
  <c r="G38" i="12"/>
  <c r="F38" i="12"/>
  <c r="F43" i="12" s="1"/>
  <c r="E38" i="12"/>
  <c r="E43" i="12" s="1"/>
  <c r="E44" i="12" s="1"/>
  <c r="I22" i="12"/>
  <c r="I24" i="12" s="1"/>
  <c r="F23" i="12"/>
  <c r="F29" i="12" s="1"/>
  <c r="G23" i="12"/>
  <c r="G29" i="12" s="1"/>
  <c r="H23" i="12"/>
  <c r="H29" i="12" s="1"/>
  <c r="E29" i="12"/>
  <c r="F21" i="12"/>
  <c r="F24" i="12" s="1"/>
  <c r="F25" i="12" s="1"/>
  <c r="F28" i="12" s="1"/>
  <c r="G21" i="12"/>
  <c r="H21" i="12"/>
  <c r="E21" i="12"/>
  <c r="E24" i="12" s="1"/>
  <c r="E25" i="12" s="1"/>
  <c r="D10" i="12"/>
  <c r="E61" i="10"/>
  <c r="F61" i="10"/>
  <c r="D61" i="10"/>
  <c r="F17" i="24"/>
  <c r="G17" i="24"/>
  <c r="H17" i="24"/>
  <c r="I17" i="24"/>
  <c r="J17" i="24"/>
  <c r="K17" i="24"/>
  <c r="L17" i="24"/>
  <c r="M17" i="24"/>
  <c r="N17" i="24"/>
  <c r="D60" i="9"/>
  <c r="F53" i="9"/>
  <c r="G53" i="9"/>
  <c r="E53" i="9"/>
  <c r="D47" i="9"/>
  <c r="F40" i="9"/>
  <c r="G40" i="9"/>
  <c r="D67" i="8"/>
  <c r="D68" i="8"/>
  <c r="D69" i="8"/>
  <c r="D70" i="8"/>
  <c r="D71" i="8"/>
  <c r="D72" i="8"/>
  <c r="D41" i="8"/>
  <c r="D40" i="8"/>
  <c r="F30" i="8"/>
  <c r="G30" i="8"/>
  <c r="H30" i="8"/>
  <c r="D64" i="10" l="1"/>
  <c r="F66" i="10" s="1"/>
  <c r="I50" i="12"/>
  <c r="D32" i="12"/>
  <c r="I31" i="12"/>
  <c r="H38" i="8"/>
  <c r="H28" i="8"/>
  <c r="F54" i="14"/>
  <c r="D60" i="14"/>
  <c r="D61" i="14" s="1"/>
  <c r="H54" i="14"/>
  <c r="E55" i="14"/>
  <c r="I55" i="14"/>
  <c r="D56" i="14"/>
  <c r="E66" i="10"/>
  <c r="D66" i="10"/>
  <c r="G73" i="10"/>
  <c r="G97" i="12"/>
  <c r="I25" i="12"/>
  <c r="I28" i="12" s="1"/>
  <c r="D51" i="12"/>
  <c r="D52" i="12" s="1"/>
  <c r="Q86" i="19"/>
  <c r="R86" i="19" s="1"/>
  <c r="Q80" i="19"/>
  <c r="R80" i="19" s="1"/>
  <c r="Q82" i="19"/>
  <c r="R82" i="19" s="1"/>
  <c r="Q84" i="19"/>
  <c r="R84" i="19" s="1"/>
  <c r="P92" i="19"/>
  <c r="I52" i="12"/>
  <c r="H52" i="12"/>
  <c r="F33" i="12"/>
  <c r="D33" i="12"/>
  <c r="E28" i="12"/>
  <c r="E33" i="12" s="1"/>
  <c r="H24" i="12"/>
  <c r="H25" i="12" s="1"/>
  <c r="H28" i="12" s="1"/>
  <c r="H33" i="12" s="1"/>
  <c r="G24" i="12"/>
  <c r="G25" i="12" s="1"/>
  <c r="G28" i="12" s="1"/>
  <c r="G33" i="12" s="1"/>
  <c r="F44" i="12"/>
  <c r="F47" i="12" s="1"/>
  <c r="F52" i="12" s="1"/>
  <c r="E47" i="12"/>
  <c r="E52" i="12" s="1"/>
  <c r="G43" i="12"/>
  <c r="G44" i="12" s="1"/>
  <c r="G47" i="12" s="1"/>
  <c r="G52" i="12" s="1"/>
  <c r="D55" i="10"/>
  <c r="G24" i="10"/>
  <c r="F27" i="10"/>
  <c r="G27" i="10"/>
  <c r="H27" i="10"/>
  <c r="I27" i="10"/>
  <c r="E28" i="10"/>
  <c r="E29" i="10" s="1"/>
  <c r="F25" i="10"/>
  <c r="G25" i="10"/>
  <c r="H25" i="10"/>
  <c r="I25" i="10"/>
  <c r="R87" i="19" l="1"/>
  <c r="R88" i="19" s="1"/>
  <c r="N95" i="19" s="1"/>
  <c r="N96" i="19" s="1"/>
  <c r="N97" i="19" s="1"/>
  <c r="F67" i="10"/>
  <c r="F68" i="10" s="1"/>
  <c r="F69" i="10" s="1"/>
  <c r="D54" i="12"/>
  <c r="G28" i="10"/>
  <c r="G29" i="10" s="1"/>
  <c r="I33" i="12"/>
  <c r="D35" i="12" s="1"/>
  <c r="I24" i="10"/>
  <c r="I28" i="10" s="1"/>
  <c r="I29" i="10" s="1"/>
  <c r="F24" i="10"/>
  <c r="H24" i="10"/>
  <c r="H28" i="10" s="1"/>
  <c r="H29" i="10" s="1"/>
  <c r="D43" i="28"/>
  <c r="D42" i="28"/>
  <c r="H41" i="28"/>
  <c r="G41" i="28"/>
  <c r="F41" i="28"/>
  <c r="E41" i="28"/>
  <c r="H29" i="28"/>
  <c r="G29" i="28"/>
  <c r="F29" i="28"/>
  <c r="H26" i="28"/>
  <c r="D26" i="28"/>
  <c r="D33" i="28" s="1"/>
  <c r="D34" i="28" s="1"/>
  <c r="D37" i="28" s="1"/>
  <c r="H30" i="28"/>
  <c r="O92" i="19" l="1"/>
  <c r="Q92" i="19"/>
  <c r="J75" i="10"/>
  <c r="D75" i="10"/>
  <c r="H73" i="10"/>
  <c r="F73" i="10"/>
  <c r="D78" i="10"/>
  <c r="D79" i="10" s="1"/>
  <c r="D80" i="10" s="1"/>
  <c r="I74" i="10"/>
  <c r="E74" i="10"/>
  <c r="F28" i="10"/>
  <c r="F29" i="10" s="1"/>
  <c r="J99" i="12"/>
  <c r="E98" i="12"/>
  <c r="D99" i="12"/>
  <c r="F97" i="12"/>
  <c r="H97" i="12"/>
  <c r="I98" i="12"/>
  <c r="D104" i="12"/>
  <c r="D41" i="28"/>
  <c r="D44" i="28" s="1"/>
  <c r="H40" i="28"/>
  <c r="F30" i="28"/>
  <c r="E38" i="28"/>
  <c r="G30" i="28"/>
  <c r="G38" i="28"/>
  <c r="F38" i="28"/>
  <c r="H38" i="28"/>
  <c r="E37" i="28" l="1"/>
  <c r="E44" i="28" s="1"/>
  <c r="G33" i="28"/>
  <c r="G34" i="28" s="1"/>
  <c r="G37" i="28" s="1"/>
  <c r="G44" i="28" s="1"/>
  <c r="F33" i="28"/>
  <c r="F34" i="28" s="1"/>
  <c r="F37" i="28" s="1"/>
  <c r="F44" i="28" s="1"/>
  <c r="H33" i="28"/>
  <c r="H34" i="28" s="1"/>
  <c r="H37" i="28" s="1"/>
  <c r="H44" i="28" s="1"/>
  <c r="D46" i="28" l="1"/>
  <c r="D24" i="24"/>
  <c r="D25" i="24" s="1"/>
  <c r="N23" i="24"/>
  <c r="M23" i="24"/>
  <c r="L23" i="24"/>
  <c r="K23" i="24"/>
  <c r="J23" i="24"/>
  <c r="I23" i="24"/>
  <c r="H23" i="24"/>
  <c r="G23" i="24"/>
  <c r="F23" i="24"/>
  <c r="E23" i="24"/>
  <c r="N16" i="24"/>
  <c r="M16" i="24"/>
  <c r="L16" i="24"/>
  <c r="K16" i="24"/>
  <c r="J16" i="24"/>
  <c r="I16" i="24"/>
  <c r="H16" i="24"/>
  <c r="G16" i="24"/>
  <c r="F16" i="24"/>
  <c r="N15" i="24"/>
  <c r="M15" i="24"/>
  <c r="L15" i="24"/>
  <c r="K15" i="24"/>
  <c r="J15" i="24"/>
  <c r="I15" i="24"/>
  <c r="H15" i="24"/>
  <c r="G15" i="24"/>
  <c r="F15" i="24"/>
  <c r="I18" i="24" l="1"/>
  <c r="I19" i="24" s="1"/>
  <c r="I22" i="24" s="1"/>
  <c r="I25" i="24" s="1"/>
  <c r="M18" i="24"/>
  <c r="M19" i="24" s="1"/>
  <c r="M22" i="24" s="1"/>
  <c r="M25" i="24" s="1"/>
  <c r="H18" i="24"/>
  <c r="H19" i="24" s="1"/>
  <c r="H22" i="24" s="1"/>
  <c r="H25" i="24" s="1"/>
  <c r="L18" i="24"/>
  <c r="L19" i="24" s="1"/>
  <c r="L22" i="24" s="1"/>
  <c r="L25" i="24" s="1"/>
  <c r="F18" i="24"/>
  <c r="F19" i="24" s="1"/>
  <c r="F22" i="24" s="1"/>
  <c r="F25" i="24" s="1"/>
  <c r="J18" i="24"/>
  <c r="J19" i="24" s="1"/>
  <c r="J22" i="24" s="1"/>
  <c r="J25" i="24" s="1"/>
  <c r="N18" i="24"/>
  <c r="N19" i="24" s="1"/>
  <c r="N22" i="24" s="1"/>
  <c r="N25" i="24" s="1"/>
  <c r="G18" i="24"/>
  <c r="G19" i="24" s="1"/>
  <c r="G22" i="24" s="1"/>
  <c r="G25" i="24" s="1"/>
  <c r="K18" i="24"/>
  <c r="K19" i="24" s="1"/>
  <c r="K22" i="24" s="1"/>
  <c r="K25" i="24" s="1"/>
  <c r="E19" i="24"/>
  <c r="E22" i="24" s="1"/>
  <c r="E25" i="24" s="1"/>
  <c r="D27" i="24" l="1"/>
  <c r="H30" i="23"/>
  <c r="G30" i="23"/>
  <c r="F30" i="23"/>
  <c r="D31" i="23" s="1"/>
  <c r="E30" i="23"/>
  <c r="D30" i="23"/>
  <c r="I27" i="23"/>
  <c r="I30" i="23" s="1"/>
  <c r="J20" i="23"/>
  <c r="I20" i="23"/>
  <c r="H20" i="23"/>
  <c r="G20" i="23"/>
  <c r="F20" i="23"/>
  <c r="E20" i="23"/>
  <c r="D20" i="23"/>
  <c r="I7" i="23"/>
  <c r="H7" i="23"/>
  <c r="G7" i="23"/>
  <c r="F7" i="23"/>
  <c r="E7" i="23"/>
  <c r="D7" i="23"/>
  <c r="D21" i="23" l="1"/>
  <c r="D8" i="23"/>
  <c r="F40" i="22"/>
  <c r="F42" i="22" s="1"/>
  <c r="F43" i="22" s="1"/>
  <c r="F45" i="22" s="1"/>
  <c r="F46" i="22" s="1"/>
  <c r="D31" i="14" l="1"/>
  <c r="D32" i="14" s="1"/>
  <c r="I30" i="14"/>
  <c r="H30" i="14"/>
  <c r="G30" i="14"/>
  <c r="F30" i="14"/>
  <c r="E30" i="14"/>
  <c r="I22" i="14"/>
  <c r="H22" i="14"/>
  <c r="G22" i="14"/>
  <c r="F22" i="14"/>
  <c r="I21" i="14"/>
  <c r="H21" i="14"/>
  <c r="G21" i="14"/>
  <c r="F21" i="14"/>
  <c r="E24" i="14"/>
  <c r="E25" i="14" s="1"/>
  <c r="I20" i="14"/>
  <c r="H20" i="14"/>
  <c r="G20" i="14"/>
  <c r="F20" i="14"/>
  <c r="H24" i="14" l="1"/>
  <c r="H25" i="14" s="1"/>
  <c r="H29" i="14" s="1"/>
  <c r="H32" i="14" s="1"/>
  <c r="E29" i="14"/>
  <c r="E32" i="14" s="1"/>
  <c r="I24" i="14"/>
  <c r="I25" i="14" s="1"/>
  <c r="I29" i="14" s="1"/>
  <c r="I32" i="14" s="1"/>
  <c r="F24" i="14"/>
  <c r="F25" i="14" s="1"/>
  <c r="F29" i="14" s="1"/>
  <c r="F32" i="14" s="1"/>
  <c r="G24" i="14"/>
  <c r="G25" i="14" s="1"/>
  <c r="G29" i="14" s="1"/>
  <c r="G32" i="14" s="1"/>
  <c r="D34" i="14" l="1"/>
  <c r="E77" i="13"/>
  <c r="I75" i="13" s="1"/>
  <c r="D57" i="13"/>
  <c r="K56" i="13"/>
  <c r="J56" i="13"/>
  <c r="I56" i="13"/>
  <c r="H56" i="13"/>
  <c r="G56" i="13"/>
  <c r="F56" i="13"/>
  <c r="E56" i="13"/>
  <c r="K53" i="13"/>
  <c r="J53" i="13"/>
  <c r="I53" i="13"/>
  <c r="H53" i="13"/>
  <c r="G53" i="13"/>
  <c r="F53" i="13"/>
  <c r="E53" i="13"/>
  <c r="K46" i="13"/>
  <c r="J46" i="13"/>
  <c r="I46" i="13"/>
  <c r="H46" i="13"/>
  <c r="G46" i="13"/>
  <c r="F46" i="13"/>
  <c r="E46" i="13"/>
  <c r="D16" i="13"/>
  <c r="D12" i="13"/>
  <c r="E39" i="13" l="1"/>
  <c r="E43" i="13"/>
  <c r="E40" i="13"/>
  <c r="E44" i="13"/>
  <c r="I78" i="13"/>
  <c r="I79" i="13"/>
  <c r="I76" i="13"/>
  <c r="I77" i="13"/>
  <c r="G43" i="13"/>
  <c r="K43" i="13"/>
  <c r="I39" i="13"/>
  <c r="F43" i="13"/>
  <c r="H39" i="13"/>
  <c r="H43" i="13"/>
  <c r="F39" i="13"/>
  <c r="J39" i="13"/>
  <c r="I43" i="13"/>
  <c r="G39" i="13"/>
  <c r="K39" i="13"/>
  <c r="J43" i="13"/>
  <c r="I44" i="13"/>
  <c r="G40" i="13"/>
  <c r="K40" i="13"/>
  <c r="H44" i="13"/>
  <c r="J40" i="13"/>
  <c r="F44" i="13"/>
  <c r="J44" i="13"/>
  <c r="H40" i="13"/>
  <c r="G44" i="13"/>
  <c r="K44" i="13"/>
  <c r="I40" i="13"/>
  <c r="F40" i="13"/>
  <c r="E45" i="13" l="1"/>
  <c r="E41" i="13"/>
  <c r="I45" i="13"/>
  <c r="K45" i="13"/>
  <c r="J41" i="13"/>
  <c r="I41" i="13"/>
  <c r="G45" i="13"/>
  <c r="H45" i="13"/>
  <c r="J45" i="13"/>
  <c r="H41" i="13"/>
  <c r="F41" i="13"/>
  <c r="K41" i="13"/>
  <c r="K48" i="13" s="1"/>
  <c r="G41" i="13"/>
  <c r="F45" i="13"/>
  <c r="I48" i="13" l="1"/>
  <c r="H48" i="13"/>
  <c r="H49" i="13" s="1"/>
  <c r="H52" i="13" s="1"/>
  <c r="G48" i="13"/>
  <c r="G49" i="13" s="1"/>
  <c r="G52" i="13" s="1"/>
  <c r="F48" i="13"/>
  <c r="F49" i="13" s="1"/>
  <c r="F52" i="13" s="1"/>
  <c r="E48" i="13"/>
  <c r="E49" i="13" s="1"/>
  <c r="E52" i="13" s="1"/>
  <c r="E59" i="13" s="1"/>
  <c r="E66" i="13" s="1"/>
  <c r="J48" i="13"/>
  <c r="J49" i="13" s="1"/>
  <c r="J52" i="13" s="1"/>
  <c r="D58" i="13"/>
  <c r="K54" i="13" s="1"/>
  <c r="K49" i="13"/>
  <c r="K52" i="13" s="1"/>
  <c r="I49" i="13"/>
  <c r="I52" i="13" s="1"/>
  <c r="D56" i="13" l="1"/>
  <c r="D59" i="13" s="1"/>
  <c r="D67" i="13" s="1"/>
  <c r="J59" i="13"/>
  <c r="J66" i="13" s="1"/>
  <c r="H59" i="13"/>
  <c r="H66" i="13" s="1"/>
  <c r="G59" i="13"/>
  <c r="G66" i="13" s="1"/>
  <c r="F59" i="13"/>
  <c r="K59" i="13"/>
  <c r="K66" i="13" s="1"/>
  <c r="I59" i="13"/>
  <c r="I66" i="13" s="1"/>
  <c r="D62" i="13" l="1"/>
  <c r="D61" i="13"/>
  <c r="F66" i="13"/>
  <c r="E67" i="13"/>
  <c r="G58" i="10"/>
  <c r="F58" i="10"/>
  <c r="E58" i="10"/>
  <c r="D58" i="10"/>
  <c r="G57" i="10"/>
  <c r="F57" i="10"/>
  <c r="E57" i="10"/>
  <c r="D57" i="10"/>
  <c r="G56" i="10"/>
  <c r="F56" i="10"/>
  <c r="E56" i="10"/>
  <c r="D56" i="10"/>
  <c r="G55" i="10"/>
  <c r="F55" i="10"/>
  <c r="E55" i="10"/>
  <c r="G54" i="10"/>
  <c r="F54" i="10"/>
  <c r="E54" i="10"/>
  <c r="D54" i="10"/>
  <c r="G53" i="10"/>
  <c r="F53" i="10"/>
  <c r="E53" i="10"/>
  <c r="D53" i="10"/>
  <c r="G34" i="10"/>
  <c r="D61" i="9"/>
  <c r="G59" i="9"/>
  <c r="F59" i="9"/>
  <c r="E59" i="9"/>
  <c r="D48" i="9"/>
  <c r="G46" i="9"/>
  <c r="F46" i="9"/>
  <c r="E46" i="9"/>
  <c r="F67" i="13" l="1"/>
  <c r="G67" i="13" s="1"/>
  <c r="H67" i="13" s="1"/>
  <c r="I67" i="13" s="1"/>
  <c r="J67" i="13" s="1"/>
  <c r="K67" i="13" s="1"/>
  <c r="F34" i="9"/>
  <c r="G39" i="9" s="1"/>
  <c r="H34" i="10"/>
  <c r="E34" i="10"/>
  <c r="I34" i="10"/>
  <c r="F34" i="10"/>
  <c r="G33" i="10"/>
  <c r="G36" i="10" s="1"/>
  <c r="H33" i="10"/>
  <c r="E33" i="10"/>
  <c r="I33" i="10"/>
  <c r="I36" i="10" s="1"/>
  <c r="H36" i="10" l="1"/>
  <c r="E36" i="10"/>
  <c r="G41" i="9"/>
  <c r="G42" i="9" s="1"/>
  <c r="G45" i="9" s="1"/>
  <c r="G48" i="9" s="1"/>
  <c r="E35" i="9"/>
  <c r="F52" i="9" s="1"/>
  <c r="F54" i="9" s="1"/>
  <c r="F35" i="9"/>
  <c r="G52" i="9" s="1"/>
  <c r="G54" i="9" s="1"/>
  <c r="E39" i="9"/>
  <c r="E41" i="9" s="1"/>
  <c r="E52" i="9"/>
  <c r="E34" i="9"/>
  <c r="F39" i="9" s="1"/>
  <c r="F33" i="10"/>
  <c r="F36" i="10" s="1"/>
  <c r="E54" i="9" l="1"/>
  <c r="E55" i="9" s="1"/>
  <c r="E58" i="9" s="1"/>
  <c r="E61" i="9" s="1"/>
  <c r="D38" i="10"/>
  <c r="F41" i="9"/>
  <c r="F42" i="9" s="1"/>
  <c r="F45" i="9" s="1"/>
  <c r="F48" i="9" s="1"/>
  <c r="E42" i="9"/>
  <c r="E45" i="9" s="1"/>
  <c r="E48" i="9" s="1"/>
  <c r="G55" i="9"/>
  <c r="G58" i="9" s="1"/>
  <c r="G61" i="9" s="1"/>
  <c r="F55" i="9"/>
  <c r="F58" i="9" s="1"/>
  <c r="F61" i="9" s="1"/>
  <c r="D63" i="9" l="1"/>
  <c r="D65" i="9"/>
  <c r="D67" i="9" l="1"/>
  <c r="D71" i="9" s="1"/>
  <c r="F71" i="9" s="1"/>
  <c r="D72" i="9"/>
  <c r="F72" i="9" s="1"/>
  <c r="D49" i="8"/>
  <c r="D51" i="8" s="1"/>
  <c r="D39" i="8"/>
  <c r="D42" i="8" s="1"/>
  <c r="H37" i="8"/>
  <c r="H36" i="8"/>
  <c r="G36" i="8"/>
  <c r="F36" i="8"/>
  <c r="E36" i="8"/>
  <c r="H29" i="8"/>
  <c r="I8" i="8"/>
  <c r="J8" i="8" s="1"/>
  <c r="D8" i="8"/>
  <c r="F8" i="8" s="1"/>
  <c r="I7" i="8"/>
  <c r="J7" i="8" s="1"/>
  <c r="D7" i="8"/>
  <c r="F7" i="8" s="1"/>
  <c r="I6" i="8"/>
  <c r="D6" i="8"/>
  <c r="F6" i="8" s="1"/>
  <c r="E27" i="8" l="1"/>
  <c r="E31" i="8" s="1"/>
  <c r="E32" i="8" s="1"/>
  <c r="E35" i="8" s="1"/>
  <c r="E42" i="8" s="1"/>
  <c r="F27" i="8"/>
  <c r="G27" i="8"/>
  <c r="G31" i="8" s="1"/>
  <c r="G80" i="9"/>
  <c r="F73" i="9"/>
  <c r="F74" i="9" s="1"/>
  <c r="F75" i="9" s="1"/>
  <c r="F31" i="8"/>
  <c r="D44" i="8"/>
  <c r="J6" i="8"/>
  <c r="H27" i="8" s="1"/>
  <c r="H31" i="8" l="1"/>
  <c r="H32" i="8" s="1"/>
  <c r="H35" i="8" s="1"/>
  <c r="H42" i="8" s="1"/>
  <c r="E81" i="9"/>
  <c r="F80" i="9"/>
  <c r="D82" i="9"/>
  <c r="I81" i="9"/>
  <c r="H80" i="9"/>
  <c r="J82" i="9"/>
  <c r="D47" i="8"/>
  <c r="F32" i="8"/>
  <c r="F35" i="8" s="1"/>
  <c r="F42" i="8" s="1"/>
  <c r="D52" i="8" s="1"/>
  <c r="G32" i="8"/>
  <c r="G35" i="8" s="1"/>
  <c r="G42" i="8" s="1"/>
  <c r="G47" i="8" l="1"/>
  <c r="E47" i="8"/>
  <c r="F47" i="8" l="1"/>
  <c r="I39" i="4" l="1"/>
  <c r="E61" i="1" l="1"/>
  <c r="E63" i="1" s="1"/>
  <c r="D17" i="5"/>
  <c r="L15" i="5"/>
  <c r="K15" i="5"/>
  <c r="J15" i="5"/>
  <c r="L10" i="5"/>
  <c r="L11" i="5" s="1"/>
  <c r="K10" i="5"/>
  <c r="J10" i="5"/>
  <c r="D10" i="5"/>
  <c r="I9" i="5"/>
  <c r="H9" i="5"/>
  <c r="G9" i="5"/>
  <c r="F9" i="5"/>
  <c r="D14" i="3"/>
  <c r="C18" i="3" s="1"/>
  <c r="D36" i="2"/>
  <c r="O29" i="2"/>
  <c r="O30" i="2" s="1"/>
  <c r="O33" i="2" s="1"/>
  <c r="O36" i="2" s="1"/>
  <c r="N28" i="2"/>
  <c r="N34" i="2" s="1"/>
  <c r="M28" i="2"/>
  <c r="M34" i="2" s="1"/>
  <c r="L28" i="2"/>
  <c r="L34" i="2" s="1"/>
  <c r="K28" i="2"/>
  <c r="K34" i="2" s="1"/>
  <c r="J28" i="2"/>
  <c r="J34" i="2" s="1"/>
  <c r="I28" i="2"/>
  <c r="I34" i="2" s="1"/>
  <c r="H28" i="2"/>
  <c r="G28" i="2"/>
  <c r="F28" i="2"/>
  <c r="E28" i="2"/>
  <c r="N25" i="2"/>
  <c r="M25" i="2"/>
  <c r="L25" i="2"/>
  <c r="K25" i="2"/>
  <c r="J25" i="2"/>
  <c r="I25" i="2"/>
  <c r="H25" i="2"/>
  <c r="G25" i="2"/>
  <c r="F25" i="2"/>
  <c r="E25" i="2"/>
  <c r="D17" i="2"/>
  <c r="O10" i="2"/>
  <c r="O11" i="2" s="1"/>
  <c r="O14" i="2" s="1"/>
  <c r="O17" i="2" s="1"/>
  <c r="N9" i="2"/>
  <c r="N15" i="2" s="1"/>
  <c r="M9" i="2"/>
  <c r="M15" i="2" s="1"/>
  <c r="L9" i="2"/>
  <c r="L15" i="2" s="1"/>
  <c r="K9" i="2"/>
  <c r="K15" i="2" s="1"/>
  <c r="J9" i="2"/>
  <c r="J15" i="2" s="1"/>
  <c r="I9" i="2"/>
  <c r="I15" i="2" s="1"/>
  <c r="H9" i="2"/>
  <c r="H15" i="2" s="1"/>
  <c r="G9" i="2"/>
  <c r="G15" i="2" s="1"/>
  <c r="F9" i="2"/>
  <c r="F15" i="2" s="1"/>
  <c r="E9" i="2"/>
  <c r="E15" i="2" s="1"/>
  <c r="N6" i="2"/>
  <c r="M6" i="2"/>
  <c r="L6" i="2"/>
  <c r="K6" i="2"/>
  <c r="J6" i="2"/>
  <c r="I6" i="2"/>
  <c r="H6" i="2"/>
  <c r="G6" i="2"/>
  <c r="F6" i="2"/>
  <c r="E6" i="2"/>
  <c r="P59" i="1"/>
  <c r="O59" i="1"/>
  <c r="N59" i="1"/>
  <c r="M59" i="1"/>
  <c r="L59" i="1"/>
  <c r="K59" i="1"/>
  <c r="J59" i="1"/>
  <c r="I59" i="1"/>
  <c r="H59" i="1"/>
  <c r="G59" i="1"/>
  <c r="F59" i="1"/>
  <c r="D18" i="1"/>
  <c r="D17" i="1"/>
  <c r="E15" i="1"/>
  <c r="F50" i="1"/>
  <c r="G50" i="1" s="1"/>
  <c r="H50" i="1" s="1"/>
  <c r="P49" i="1"/>
  <c r="O49" i="1"/>
  <c r="N49" i="1"/>
  <c r="M49" i="1"/>
  <c r="L49" i="1"/>
  <c r="K49" i="1"/>
  <c r="J49" i="1"/>
  <c r="I49" i="1"/>
  <c r="H49" i="1"/>
  <c r="G49" i="1"/>
  <c r="F49" i="1"/>
  <c r="J11" i="5" l="1"/>
  <c r="J14" i="5" s="1"/>
  <c r="J18" i="5" s="1"/>
  <c r="K11" i="5"/>
  <c r="K14" i="5" s="1"/>
  <c r="K18" i="5" s="1"/>
  <c r="H10" i="5"/>
  <c r="H11" i="5" s="1"/>
  <c r="I15" i="5"/>
  <c r="F15" i="5"/>
  <c r="G10" i="2"/>
  <c r="G11" i="2" s="1"/>
  <c r="G14" i="2" s="1"/>
  <c r="G17" i="2" s="1"/>
  <c r="K10" i="2"/>
  <c r="K11" i="2" s="1"/>
  <c r="K14" i="2" s="1"/>
  <c r="K17" i="2" s="1"/>
  <c r="D11" i="5"/>
  <c r="D14" i="5" s="1"/>
  <c r="D18" i="5" s="1"/>
  <c r="L14" i="5"/>
  <c r="L18" i="5" s="1"/>
  <c r="H10" i="2"/>
  <c r="H11" i="2" s="1"/>
  <c r="H14" i="2" s="1"/>
  <c r="H17" i="2" s="1"/>
  <c r="L10" i="2"/>
  <c r="L11" i="2" s="1"/>
  <c r="L14" i="2" s="1"/>
  <c r="L17" i="2" s="1"/>
  <c r="J29" i="2"/>
  <c r="J30" i="2" s="1"/>
  <c r="J33" i="2" s="1"/>
  <c r="J36" i="2" s="1"/>
  <c r="N29" i="2"/>
  <c r="N30" i="2" s="1"/>
  <c r="N33" i="2" s="1"/>
  <c r="N36" i="2" s="1"/>
  <c r="H34" i="2"/>
  <c r="G34" i="2"/>
  <c r="I10" i="2"/>
  <c r="I11" i="2" s="1"/>
  <c r="I14" i="2" s="1"/>
  <c r="I17" i="2" s="1"/>
  <c r="M10" i="2"/>
  <c r="M11" i="2" s="1"/>
  <c r="M14" i="2" s="1"/>
  <c r="M17" i="2" s="1"/>
  <c r="K29" i="2"/>
  <c r="K30" i="2" s="1"/>
  <c r="K33" i="2" s="1"/>
  <c r="K36" i="2" s="1"/>
  <c r="E10" i="2"/>
  <c r="E11" i="2" s="1"/>
  <c r="E14" i="2" s="1"/>
  <c r="E17" i="2" s="1"/>
  <c r="L29" i="2"/>
  <c r="L30" i="2" s="1"/>
  <c r="L33" i="2" s="1"/>
  <c r="L36" i="2" s="1"/>
  <c r="F34" i="2"/>
  <c r="E34" i="2"/>
  <c r="I61" i="1"/>
  <c r="I63" i="1" s="1"/>
  <c r="M61" i="1"/>
  <c r="M63" i="1" s="1"/>
  <c r="F61" i="1"/>
  <c r="J61" i="1"/>
  <c r="J63" i="1" s="1"/>
  <c r="N61" i="1"/>
  <c r="N63" i="1" s="1"/>
  <c r="G61" i="1"/>
  <c r="G63" i="1" s="1"/>
  <c r="K61" i="1"/>
  <c r="K63" i="1" s="1"/>
  <c r="O61" i="1"/>
  <c r="O63" i="1" s="1"/>
  <c r="H61" i="1"/>
  <c r="H63" i="1" s="1"/>
  <c r="L61" i="1"/>
  <c r="L63" i="1" s="1"/>
  <c r="P61" i="1"/>
  <c r="P63" i="1" s="1"/>
  <c r="D39" i="1"/>
  <c r="D35" i="1"/>
  <c r="D31" i="1"/>
  <c r="D28" i="1"/>
  <c r="D38" i="1"/>
  <c r="D34" i="1"/>
  <c r="D30" i="1"/>
  <c r="D32" i="1"/>
  <c r="D37" i="1"/>
  <c r="D33" i="1"/>
  <c r="D29" i="1"/>
  <c r="D36" i="1"/>
  <c r="E15" i="5"/>
  <c r="E10" i="5"/>
  <c r="E11" i="5" s="1"/>
  <c r="F10" i="5"/>
  <c r="F11" i="5" s="1"/>
  <c r="I10" i="5"/>
  <c r="G29" i="2"/>
  <c r="F29" i="2"/>
  <c r="H29" i="2"/>
  <c r="F51" i="1"/>
  <c r="F53" i="1" s="1"/>
  <c r="E51" i="1"/>
  <c r="E53" i="1" s="1"/>
  <c r="G15" i="5"/>
  <c r="H15" i="5"/>
  <c r="G10" i="5"/>
  <c r="J10" i="2"/>
  <c r="J11" i="2" s="1"/>
  <c r="J14" i="2" s="1"/>
  <c r="J17" i="2" s="1"/>
  <c r="I29" i="2"/>
  <c r="I30" i="2" s="1"/>
  <c r="I33" i="2" s="1"/>
  <c r="I36" i="2" s="1"/>
  <c r="F10" i="2"/>
  <c r="F11" i="2" s="1"/>
  <c r="F14" i="2" s="1"/>
  <c r="F17" i="2" s="1"/>
  <c r="N10" i="2"/>
  <c r="N11" i="2" s="1"/>
  <c r="N14" i="2" s="1"/>
  <c r="N17" i="2" s="1"/>
  <c r="E29" i="2"/>
  <c r="M29" i="2"/>
  <c r="M30" i="2" s="1"/>
  <c r="M33" i="2" s="1"/>
  <c r="M36" i="2" s="1"/>
  <c r="I50" i="1"/>
  <c r="H51" i="1"/>
  <c r="H53" i="1" s="1"/>
  <c r="G51" i="1"/>
  <c r="G53" i="1" s="1"/>
  <c r="D19" i="2" l="1"/>
  <c r="F14" i="5"/>
  <c r="F18" i="5" s="1"/>
  <c r="H14" i="5"/>
  <c r="H18" i="5" s="1"/>
  <c r="I11" i="5"/>
  <c r="I14" i="5" s="1"/>
  <c r="I18" i="5" s="1"/>
  <c r="G11" i="5"/>
  <c r="G14" i="5" s="1"/>
  <c r="G18" i="5" s="1"/>
  <c r="H30" i="2"/>
  <c r="H33" i="2" s="1"/>
  <c r="H36" i="2" s="1"/>
  <c r="F63" i="1"/>
  <c r="D65" i="1" s="1"/>
  <c r="G30" i="2"/>
  <c r="G33" i="2" s="1"/>
  <c r="G36" i="2" s="1"/>
  <c r="F33" i="1"/>
  <c r="E33" i="1"/>
  <c r="F34" i="1"/>
  <c r="E34" i="1"/>
  <c r="F35" i="1"/>
  <c r="E35" i="1"/>
  <c r="F37" i="1"/>
  <c r="E37" i="1"/>
  <c r="F38" i="1"/>
  <c r="E38" i="1"/>
  <c r="F39" i="1"/>
  <c r="E39" i="1"/>
  <c r="F36" i="1"/>
  <c r="E36" i="1"/>
  <c r="F32" i="1"/>
  <c r="E32" i="1"/>
  <c r="F28" i="1"/>
  <c r="E28" i="1"/>
  <c r="F29" i="1"/>
  <c r="E29" i="1"/>
  <c r="F30" i="1"/>
  <c r="E30" i="1"/>
  <c r="F31" i="1"/>
  <c r="E31" i="1"/>
  <c r="E30" i="2"/>
  <c r="E33" i="2" s="1"/>
  <c r="F30" i="2"/>
  <c r="F33" i="2" s="1"/>
  <c r="J50" i="1"/>
  <c r="I51" i="1"/>
  <c r="I53" i="1" s="1"/>
  <c r="F40" i="1" l="1"/>
  <c r="E40" i="1"/>
  <c r="D41" i="1" s="1"/>
  <c r="E14" i="5"/>
  <c r="E18" i="5" s="1"/>
  <c r="D20" i="5" s="1"/>
  <c r="F36" i="2"/>
  <c r="E36" i="2"/>
  <c r="K50" i="1"/>
  <c r="J51" i="1"/>
  <c r="J53" i="1" s="1"/>
  <c r="D38" i="2" l="1"/>
  <c r="L50" i="1"/>
  <c r="K51" i="1"/>
  <c r="K53" i="1" s="1"/>
  <c r="M50" i="1" l="1"/>
  <c r="L51" i="1"/>
  <c r="L53" i="1" s="1"/>
  <c r="N50" i="1" l="1"/>
  <c r="M51" i="1"/>
  <c r="M53" i="1" s="1"/>
  <c r="O50" i="1" l="1"/>
  <c r="N51" i="1"/>
  <c r="N53" i="1" s="1"/>
  <c r="P50" i="1" l="1"/>
  <c r="O51" i="1"/>
  <c r="O53" i="1" s="1"/>
  <c r="P51" i="1" l="1"/>
  <c r="P53" i="1" s="1"/>
  <c r="D55" i="1" s="1"/>
  <c r="I25" i="4" l="1"/>
  <c r="H25" i="4"/>
  <c r="G25" i="4"/>
  <c r="F25" i="4"/>
  <c r="E25" i="4"/>
  <c r="E32" i="4" s="1"/>
  <c r="E34" i="4" s="1"/>
  <c r="E36" i="4" s="1"/>
  <c r="G36" i="4" s="1"/>
  <c r="D27" i="4" l="1"/>
  <c r="K39" i="4"/>
  <c r="E42" i="4"/>
</calcChain>
</file>

<file path=xl/sharedStrings.xml><?xml version="1.0" encoding="utf-8"?>
<sst xmlns="http://schemas.openxmlformats.org/spreadsheetml/2006/main" count="1497" uniqueCount="486">
  <si>
    <t>N° de asistentes</t>
  </si>
  <si>
    <t>mes 0</t>
  </si>
  <si>
    <t>mes 1-12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</si>
  <si>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</si>
  <si>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</si>
  <si>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</si>
  <si>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</si>
  <si>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</si>
  <si>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</si>
  <si>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</si>
  <si>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</si>
  <si>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</si>
  <si>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</si>
  <si>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</si>
  <si>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</si>
  <si>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ingresos</t>
  </si>
  <si>
    <t>costos operativos</t>
  </si>
  <si>
    <t>impto.renta</t>
  </si>
  <si>
    <t>alquiler</t>
  </si>
  <si>
    <t>inversión</t>
  </si>
  <si>
    <t>musicos</t>
  </si>
  <si>
    <t>FC</t>
  </si>
  <si>
    <t>mantenimiento</t>
  </si>
  <si>
    <t>impto. renta</t>
  </si>
  <si>
    <t>=</t>
  </si>
  <si>
    <t>Σ</t>
  </si>
  <si>
    <t>(20Y - 27,000) x 70%</t>
  </si>
  <si>
    <t>VPN</t>
  </si>
  <si>
    <t>utilidad neta</t>
  </si>
  <si>
    <t>i = 1</t>
  </si>
  <si>
    <t>flujo de caja</t>
  </si>
  <si>
    <t>COK</t>
  </si>
  <si>
    <t>X</t>
  </si>
  <si>
    <t>TIR</t>
  </si>
  <si>
    <t>año 0</t>
  </si>
  <si>
    <t>-</t>
  </si>
  <si>
    <t>x</t>
  </si>
  <si>
    <t>+</t>
  </si>
  <si>
    <t>año 11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</si>
  <si>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</si>
  <si>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</si>
  <si>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</si>
  <si>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</si>
  <si>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</si>
  <si>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</si>
  <si>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</si>
  <si>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</si>
  <si>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</si>
  <si>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</si>
  <si>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alumnos</t>
  </si>
  <si>
    <t>ganancias extraordinarias</t>
  </si>
  <si>
    <t>costos</t>
  </si>
  <si>
    <t>depreciación</t>
  </si>
  <si>
    <t>impuesto a la renta</t>
  </si>
  <si>
    <t>NOPAT</t>
  </si>
  <si>
    <t>(+) depreciación</t>
  </si>
  <si>
    <t>ventas</t>
  </si>
  <si>
    <t>X-12,000</t>
  </si>
  <si>
    <t>costo de oportunidad</t>
  </si>
  <si>
    <t>mano de obra</t>
  </si>
  <si>
    <t>patente anual</t>
  </si>
  <si>
    <t>utilidad = caja</t>
  </si>
  <si>
    <t>inversiones</t>
  </si>
  <si>
    <t xml:space="preserve">   terreno/edificio (cto.oportunidad)</t>
  </si>
  <si>
    <t xml:space="preserve">   máquina</t>
  </si>
  <si>
    <t xml:space="preserve">   permiso</t>
  </si>
  <si>
    <t xml:space="preserve">   cap. de trabajo</t>
  </si>
  <si>
    <t>……………..</t>
  </si>
  <si>
    <t>(-) costos totales</t>
  </si>
  <si>
    <t>(-) depreciación</t>
  </si>
  <si>
    <t>ut. operativa</t>
  </si>
  <si>
    <t>ut. neta</t>
  </si>
  <si>
    <t>Ut. Neta + depreciación</t>
  </si>
  <si>
    <t>Ut. Neta</t>
  </si>
  <si>
    <t>Ut. Operativa</t>
  </si>
  <si>
    <t>70%</t>
  </si>
  <si>
    <t>FC anual</t>
  </si>
  <si>
    <t>ut.neta</t>
  </si>
  <si>
    <t>impuesto renta</t>
  </si>
  <si>
    <t>valor maquinaria nueva</t>
  </si>
  <si>
    <t>ahorro costos</t>
  </si>
  <si>
    <t>ganancia extraodinaria</t>
  </si>
  <si>
    <t>(+) depreciación equipo antiguo</t>
  </si>
  <si>
    <t>(-) depreciacion equipo nuevo</t>
  </si>
  <si>
    <t>valor en libro maquina en uso</t>
  </si>
  <si>
    <t>FCL</t>
  </si>
  <si>
    <t>factor</t>
  </si>
  <si>
    <t>precio</t>
  </si>
  <si>
    <t>cantidad</t>
  </si>
  <si>
    <t>20Y</t>
  </si>
  <si>
    <t>mes 1 - 12</t>
  </si>
  <si>
    <t>X - 12,000</t>
  </si>
  <si>
    <t>VPNE</t>
  </si>
  <si>
    <t>cv</t>
  </si>
  <si>
    <t>interés</t>
  </si>
  <si>
    <t>factor escalamiento ingresos</t>
  </si>
  <si>
    <t>factor escalamiento costos</t>
  </si>
  <si>
    <t>factor escalamiento COK</t>
  </si>
  <si>
    <t>comisión</t>
  </si>
  <si>
    <t>comisión US$</t>
  </si>
  <si>
    <t>(+)depreciación</t>
  </si>
  <si>
    <t>recupero cap.de trabajo</t>
  </si>
  <si>
    <t>valor en libros equipo</t>
  </si>
  <si>
    <t xml:space="preserve">   activos fijos</t>
  </si>
  <si>
    <t xml:space="preserve">   capital de trabajo</t>
  </si>
  <si>
    <t>a)</t>
  </si>
  <si>
    <t>b)</t>
  </si>
  <si>
    <t>c)</t>
  </si>
  <si>
    <t xml:space="preserve">   deuda</t>
  </si>
  <si>
    <t xml:space="preserve">   patrimonio</t>
  </si>
  <si>
    <t xml:space="preserve">   CPPK</t>
  </si>
  <si>
    <t>d)</t>
  </si>
  <si>
    <t>FACTOR</t>
  </si>
  <si>
    <t>cobranzas</t>
  </si>
  <si>
    <t>Escenario 1</t>
  </si>
  <si>
    <t>Precio por Galón de diesel</t>
  </si>
  <si>
    <t>Probabilidad de ocurrencia en el año</t>
  </si>
  <si>
    <t>Año 1</t>
  </si>
  <si>
    <t>Año 2</t>
  </si>
  <si>
    <t>Año 3</t>
  </si>
  <si>
    <t>Escenario 2</t>
  </si>
  <si>
    <t>opción 1</t>
  </si>
  <si>
    <t>opción 2</t>
  </si>
  <si>
    <t>ahorro</t>
  </si>
  <si>
    <t>(-)depreciación</t>
  </si>
  <si>
    <t>(-)impto.renta</t>
  </si>
  <si>
    <t>VPN 1</t>
  </si>
  <si>
    <t>VPN 2</t>
  </si>
  <si>
    <t>varianza</t>
  </si>
  <si>
    <t>desv.estandar</t>
  </si>
  <si>
    <t>coeficiente var.</t>
  </si>
  <si>
    <t>costos variables</t>
  </si>
  <si>
    <t>costos fijos</t>
  </si>
  <si>
    <t>escenario esperado</t>
  </si>
  <si>
    <t>precio venta</t>
  </si>
  <si>
    <t>costos var.</t>
  </si>
  <si>
    <t>diciembre</t>
  </si>
  <si>
    <t>enero</t>
  </si>
  <si>
    <t>febrero</t>
  </si>
  <si>
    <t>dem.alta</t>
  </si>
  <si>
    <t>ampliar</t>
  </si>
  <si>
    <t>dem.baja</t>
  </si>
  <si>
    <t>abrir</t>
  </si>
  <si>
    <t>no ampliar</t>
  </si>
  <si>
    <t>no abrir</t>
  </si>
  <si>
    <t>VPN abrir</t>
  </si>
  <si>
    <t>(2,000)</t>
  </si>
  <si>
    <t>FCE 1</t>
  </si>
  <si>
    <t>FCE 2</t>
  </si>
  <si>
    <t>1,100</t>
  </si>
  <si>
    <t>900)</t>
  </si>
  <si>
    <t>30%</t>
  </si>
  <si>
    <t>1,000</t>
  </si>
  <si>
    <t>1,430</t>
  </si>
  <si>
    <t>1,000)</t>
  </si>
  <si>
    <t>1,220</t>
  </si>
  <si>
    <t>valor de recupero</t>
  </si>
  <si>
    <t xml:space="preserve">   activo fijo</t>
  </si>
  <si>
    <t>valor de rescate</t>
  </si>
  <si>
    <t>%</t>
  </si>
  <si>
    <t>palos de golf proyecto</t>
  </si>
  <si>
    <t>producción</t>
  </si>
  <si>
    <t>erosión</t>
  </si>
  <si>
    <t>palos de golf alto precio</t>
  </si>
  <si>
    <t>sinergia</t>
  </si>
  <si>
    <t>palos de golf económicos</t>
  </si>
  <si>
    <t>inversión en A.F.</t>
  </si>
  <si>
    <t>factor de depreciación</t>
  </si>
  <si>
    <t>capital de trabajo</t>
  </si>
  <si>
    <t>incremento en ventas</t>
  </si>
  <si>
    <t>tax</t>
  </si>
  <si>
    <t>estado de resultados</t>
  </si>
  <si>
    <t>total ventas</t>
  </si>
  <si>
    <t>costos variables proyecto</t>
  </si>
  <si>
    <t>erosíon</t>
  </si>
  <si>
    <t>total costos variables</t>
  </si>
  <si>
    <t>flujo de caja libre</t>
  </si>
  <si>
    <t>recupero C.T.</t>
  </si>
  <si>
    <t>valor en libros AF</t>
  </si>
  <si>
    <t>pay back</t>
  </si>
  <si>
    <t>factor +10%</t>
  </si>
  <si>
    <t>factor -10%</t>
  </si>
  <si>
    <t xml:space="preserve">ventas </t>
  </si>
  <si>
    <t xml:space="preserve">punto de equilibrio </t>
  </si>
  <si>
    <t>% incremento</t>
  </si>
  <si>
    <t>tamaño</t>
  </si>
  <si>
    <t>porción</t>
  </si>
  <si>
    <t>inversión inicial</t>
  </si>
  <si>
    <t>impto.a la renta</t>
  </si>
  <si>
    <t>Resumen de escenario</t>
  </si>
  <si>
    <t>Valores actuales:</t>
  </si>
  <si>
    <t>pesimista</t>
  </si>
  <si>
    <t>optimista</t>
  </si>
  <si>
    <t>Creado por Paúl Lira Briceño el 16/07/2013</t>
  </si>
  <si>
    <t>Celdas cambiantes:</t>
  </si>
  <si>
    <t>$C$2</t>
  </si>
  <si>
    <t>$C$3</t>
  </si>
  <si>
    <t>$C$4</t>
  </si>
  <si>
    <t>$C$5</t>
  </si>
  <si>
    <t>$C$6</t>
  </si>
  <si>
    <t>Celdas de resultado:</t>
  </si>
  <si>
    <t>$C$28</t>
  </si>
  <si>
    <t>Notas: La columna de valores actuales representa los valores de las celdas cambiantes</t>
  </si>
  <si>
    <t>en el momento en que se creó el Informe resumen de escenario. Las celdas cambiantes de</t>
  </si>
  <si>
    <t>cada escenario se muestran en gris.</t>
  </si>
  <si>
    <t>Prob Inicial</t>
  </si>
  <si>
    <t>Prob Condic</t>
  </si>
  <si>
    <t>Rama</t>
  </si>
  <si>
    <t>Prob Conjunta</t>
  </si>
  <si>
    <t>Controles</t>
  </si>
  <si>
    <t>Mayor Prod.</t>
  </si>
  <si>
    <t>Recesión</t>
  </si>
  <si>
    <t>Prod. Normal</t>
  </si>
  <si>
    <t>No Controles</t>
  </si>
  <si>
    <t>Expansión</t>
  </si>
  <si>
    <t>año 2- año n</t>
  </si>
  <si>
    <t xml:space="preserve">VPN </t>
  </si>
  <si>
    <t>éxito</t>
  </si>
  <si>
    <t>.</t>
  </si>
  <si>
    <t>no inversión</t>
  </si>
  <si>
    <t>hacer prueba</t>
  </si>
  <si>
    <t>fracaso</t>
  </si>
  <si>
    <t>no hacer prueba</t>
  </si>
  <si>
    <t>fin</t>
  </si>
  <si>
    <t>decisión principal</t>
  </si>
  <si>
    <t>50% x 1,500</t>
  </si>
  <si>
    <t>50% x 0</t>
  </si>
  <si>
    <t>CHOMPAS DE LANA</t>
  </si>
  <si>
    <t>CHOMPAS DE CACHEMIRA</t>
  </si>
  <si>
    <t>Ventas esperadas</t>
  </si>
  <si>
    <t>Prob.</t>
  </si>
  <si>
    <t>VP Flujo de Caja</t>
  </si>
  <si>
    <t>altas</t>
  </si>
  <si>
    <t>moderadas</t>
  </si>
  <si>
    <t>bajas</t>
  </si>
  <si>
    <t>VP</t>
  </si>
  <si>
    <t>lana</t>
  </si>
  <si>
    <t>cachemira</t>
  </si>
  <si>
    <t>VPN lana</t>
  </si>
  <si>
    <t>20%*180,000</t>
  </si>
  <si>
    <t>60%*130,000</t>
  </si>
  <si>
    <t>20%*85,000</t>
  </si>
  <si>
    <t>VPN cachemira</t>
  </si>
  <si>
    <t>40%*300,000</t>
  </si>
  <si>
    <t>20%*230,000</t>
  </si>
  <si>
    <t>40%*0</t>
  </si>
  <si>
    <t xml:space="preserve">valor si acepta un % </t>
  </si>
  <si>
    <t>30% película buena y gran audiencia</t>
  </si>
  <si>
    <t>valor</t>
  </si>
  <si>
    <t>película buena y gran audiencia y guión bueno (10%)</t>
  </si>
  <si>
    <t>pago al guionista</t>
  </si>
  <si>
    <t>alt. 1</t>
  </si>
  <si>
    <t>alt.2</t>
  </si>
  <si>
    <t>alt.2-1</t>
  </si>
  <si>
    <t>la alternativa 2</t>
  </si>
  <si>
    <t>e)</t>
  </si>
  <si>
    <t>la tasa de indiferencia se reduce; pero se sigue prefiriendo la alternativa 2</t>
  </si>
  <si>
    <t>pto.de equil.</t>
  </si>
  <si>
    <t>año 1-4</t>
  </si>
  <si>
    <t>depreciación  anual</t>
  </si>
  <si>
    <t>seguro</t>
  </si>
  <si>
    <t>cvu</t>
  </si>
  <si>
    <t>costo cono</t>
  </si>
  <si>
    <t>costos cono</t>
  </si>
  <si>
    <t>seguros</t>
  </si>
  <si>
    <t>alquiler costo oportunidad</t>
  </si>
  <si>
    <t>recupero CT</t>
  </si>
  <si>
    <t>base</t>
  </si>
  <si>
    <t>probabilidad de ocurrencia</t>
  </si>
  <si>
    <t>tamaño de mercado</t>
  </si>
  <si>
    <t>porción de mercado</t>
  </si>
  <si>
    <t>precio de venta $</t>
  </si>
  <si>
    <t>costos variables anuales $</t>
  </si>
  <si>
    <t>costos fijos anuales $</t>
  </si>
  <si>
    <t>inversión inicial $</t>
  </si>
  <si>
    <t>PANEL DE VARIABLES DE ENTRADA</t>
  </si>
  <si>
    <t>$D$5</t>
  </si>
  <si>
    <t>$D$6</t>
  </si>
  <si>
    <t>$D$7</t>
  </si>
  <si>
    <t>$D$8</t>
  </si>
  <si>
    <t>$D$9</t>
  </si>
  <si>
    <t>$C$31</t>
  </si>
  <si>
    <t>Creado por usuario el 9/04/2020</t>
  </si>
  <si>
    <t>Resumen del escenario</t>
  </si>
  <si>
    <t>estructura de ingresos</t>
  </si>
  <si>
    <t>hasta $100</t>
  </si>
  <si>
    <t>entre $100 y $500</t>
  </si>
  <si>
    <t>más de $500</t>
  </si>
  <si>
    <t>gastos de operación</t>
  </si>
  <si>
    <t xml:space="preserve">depreciación </t>
  </si>
  <si>
    <t>inversión activos fijos</t>
  </si>
  <si>
    <t>D/E</t>
  </si>
  <si>
    <t xml:space="preserve">   VPN</t>
  </si>
  <si>
    <t>f)</t>
  </si>
  <si>
    <t>eficiencia</t>
  </si>
  <si>
    <t xml:space="preserve">inversión </t>
  </si>
  <si>
    <t>escenario 1</t>
  </si>
  <si>
    <t>escenario 2</t>
  </si>
  <si>
    <t xml:space="preserve"> VPNE</t>
  </si>
  <si>
    <t>MATRIZ (índice)</t>
  </si>
  <si>
    <t>desviación estándar</t>
  </si>
  <si>
    <t>probabilidad VPN &gt; 0</t>
  </si>
  <si>
    <t>utilidad operativa</t>
  </si>
  <si>
    <t>valor en libros activo fijo</t>
  </si>
  <si>
    <t>recupero capital de trabajo</t>
  </si>
  <si>
    <t>$C$89</t>
  </si>
  <si>
    <t>$C$114</t>
  </si>
  <si>
    <r>
      <t>σ</t>
    </r>
    <r>
      <rPr>
        <sz val="11"/>
        <color theme="1"/>
        <rFont val="Calibri"/>
        <family val="2"/>
        <scheme val="minor"/>
      </rPr>
      <t/>
    </r>
  </si>
  <si>
    <t>factor ventas/costos variables</t>
  </si>
  <si>
    <t>factor precio</t>
  </si>
  <si>
    <t>factor solo ventas palos nuevos</t>
  </si>
  <si>
    <t>precio $</t>
  </si>
  <si>
    <t>costos variables $</t>
  </si>
  <si>
    <t>costos fijos $</t>
  </si>
  <si>
    <t>costo variable</t>
  </si>
  <si>
    <t>costo fijo</t>
  </si>
  <si>
    <t>punto de eq.</t>
  </si>
  <si>
    <t>0.3134 x 34.13%</t>
  </si>
  <si>
    <t>(0.9226) x 34.13%</t>
  </si>
  <si>
    <t>arrendamiento</t>
  </si>
  <si>
    <t>1,05</t>
  </si>
  <si>
    <t>factor ventas</t>
  </si>
  <si>
    <t>factor arrendamiento</t>
  </si>
  <si>
    <t>MATRIZ (índices)</t>
  </si>
  <si>
    <t>ventas de helados</t>
  </si>
  <si>
    <t>% en relación a visitas</t>
  </si>
  <si>
    <t>recesión</t>
  </si>
  <si>
    <t>expansión</t>
  </si>
  <si>
    <t>controles</t>
  </si>
  <si>
    <t>no controles</t>
  </si>
  <si>
    <t>+ producción</t>
  </si>
  <si>
    <t>producción =</t>
  </si>
  <si>
    <t>(1 + 10%)^1</t>
  </si>
  <si>
    <t>(1 + 10%)^2</t>
  </si>
  <si>
    <t xml:space="preserve"> producción =</t>
  </si>
  <si>
    <t>paso 1/2</t>
  </si>
  <si>
    <t>paso 3</t>
  </si>
  <si>
    <t>paso 4</t>
  </si>
  <si>
    <t>VPN =</t>
  </si>
  <si>
    <t>II intervalo al 95%</t>
  </si>
  <si>
    <t>(0.5045) x 34.13%</t>
  </si>
  <si>
    <t>(1.7426 - 1) x 13.59%</t>
  </si>
  <si>
    <t>Niño</t>
  </si>
  <si>
    <t>no Niño</t>
  </si>
  <si>
    <t>(60% x</t>
  </si>
  <si>
    <t>40% x</t>
  </si>
  <si>
    <t xml:space="preserve">buen </t>
  </si>
  <si>
    <t>guion</t>
  </si>
  <si>
    <t>mal</t>
  </si>
  <si>
    <t>se hace</t>
  </si>
  <si>
    <t>película</t>
  </si>
  <si>
    <t>no se hace</t>
  </si>
  <si>
    <t>buena película</t>
  </si>
  <si>
    <t>mala película</t>
  </si>
  <si>
    <t>gran audiencia</t>
  </si>
  <si>
    <t>poca audiencia</t>
  </si>
  <si>
    <t>VPN alt. 1</t>
  </si>
  <si>
    <t>a.1)</t>
  </si>
  <si>
    <t>a.2)</t>
  </si>
  <si>
    <t>precio esperado esc. 1</t>
  </si>
  <si>
    <t>precio esperado esc. 2</t>
  </si>
  <si>
    <t>ut.operativas</t>
  </si>
  <si>
    <t>costo capital</t>
  </si>
  <si>
    <t>factor utilidades</t>
  </si>
  <si>
    <t>factor valor de liqudación</t>
  </si>
  <si>
    <t>factor COK</t>
  </si>
  <si>
    <t>costo de capital</t>
  </si>
  <si>
    <r>
      <t>- 2σ</t>
    </r>
    <r>
      <rPr>
        <b/>
        <vertAlign val="subscript"/>
        <sz val="10"/>
        <rFont val="Arial"/>
        <family val="2"/>
      </rPr>
      <t/>
    </r>
  </si>
  <si>
    <r>
      <t>+ 2σ</t>
    </r>
    <r>
      <rPr>
        <b/>
        <vertAlign val="subscript"/>
        <sz val="10"/>
        <rFont val="Arial"/>
        <family val="2"/>
      </rPr>
      <t/>
    </r>
  </si>
  <si>
    <t>- 1σ</t>
  </si>
  <si>
    <t>- 3σ</t>
  </si>
  <si>
    <t>- 2σ</t>
  </si>
  <si>
    <t>+ 1σ</t>
  </si>
  <si>
    <t>+ 2σ</t>
  </si>
  <si>
    <t>+ 3σ</t>
  </si>
  <si>
    <t>VPN no inversión</t>
  </si>
  <si>
    <t xml:space="preserve">VPN inversión </t>
  </si>
  <si>
    <t>demanda alta</t>
  </si>
  <si>
    <t xml:space="preserve">FC ampliar </t>
  </si>
  <si>
    <t>FC no ampliar</t>
  </si>
  <si>
    <t>FC ampliar</t>
  </si>
  <si>
    <t>No Niño</t>
  </si>
  <si>
    <t>TIRM</t>
  </si>
  <si>
    <t>VPNE- 1σ</t>
  </si>
  <si>
    <t>VPNE+ 1σ</t>
  </si>
  <si>
    <t>0.3134 x 34.13% = 10.70%</t>
  </si>
  <si>
    <t>Y</t>
  </si>
  <si>
    <t xml:space="preserve">     N° cuentas</t>
  </si>
  <si>
    <t>inversión en el proyecto</t>
  </si>
  <si>
    <t>año 1-7</t>
  </si>
  <si>
    <t>ventas proyecto</t>
  </si>
  <si>
    <t>inversión x recuperar</t>
  </si>
  <si>
    <t>FC actualizado</t>
  </si>
  <si>
    <t>factor precio palos nuevos</t>
  </si>
  <si>
    <t>factor costos variables</t>
  </si>
  <si>
    <t>factor costos fijos</t>
  </si>
  <si>
    <t>factor inversión inicial</t>
  </si>
  <si>
    <t>costo oportunidad alquiler</t>
  </si>
  <si>
    <t>consumo (galones)</t>
  </si>
  <si>
    <t>(1 - 30%)</t>
  </si>
  <si>
    <t>MATRIZ (en $)</t>
  </si>
  <si>
    <t>MATRIZ ($)</t>
  </si>
  <si>
    <t xml:space="preserve">     costos + alquiler</t>
  </si>
  <si>
    <t>año 1…n</t>
  </si>
  <si>
    <t>ut. operativas</t>
  </si>
  <si>
    <t>monto promedio</t>
  </si>
  <si>
    <t>gastos adaptación/restauración</t>
  </si>
  <si>
    <t>una disminución de 7.10% del precio del combustible hace que el VPN  sea = 0</t>
  </si>
  <si>
    <t>(20Y-27,000)*30%</t>
  </si>
  <si>
    <t>0.9226 x 34.13% = 31.49%</t>
  </si>
  <si>
    <t>20Y x 70%</t>
  </si>
  <si>
    <t>27,000 x 70%</t>
  </si>
  <si>
    <t>resolviendo la ecuación:</t>
  </si>
  <si>
    <t>función "Buscar objetivo"</t>
  </si>
  <si>
    <t>Sí $193,194.14 es el FC entonces</t>
  </si>
  <si>
    <t>debió aceptar el pago de $5,000 versus $3,000</t>
  </si>
  <si>
    <t>g)</t>
  </si>
  <si>
    <t>Paúl Lira Briceño</t>
  </si>
  <si>
    <t>Evaluación de proyectos de inversión</t>
  </si>
  <si>
    <t>Guía teórica y práctica</t>
  </si>
  <si>
    <t>EJERCICIOS Y MINICASOS RESUELTOS - CAPÍTULO II</t>
  </si>
  <si>
    <t>1. Los zapatos para nieve de Bata Limac</t>
  </si>
  <si>
    <t>Los zapatos para nieve de Bata Limac</t>
  </si>
  <si>
    <t>El proyecto del Banco del Ocio</t>
  </si>
  <si>
    <t>La máquina de helados de mifarmacia.com</t>
  </si>
  <si>
    <r>
      <t>alquiler x m</t>
    </r>
    <r>
      <rPr>
        <vertAlign val="superscript"/>
        <sz val="11"/>
        <color theme="1"/>
        <rFont val="Cambria"/>
        <family val="1"/>
      </rPr>
      <t>2</t>
    </r>
    <r>
      <rPr>
        <sz val="11"/>
        <color theme="1"/>
        <rFont val="Cambria"/>
        <family val="1"/>
      </rPr>
      <t xml:space="preserve"> (cto.oportunidad)</t>
    </r>
  </si>
  <si>
    <t>Los palos de golf de Tiger Woods</t>
  </si>
  <si>
    <t>Las raquetas de tenis de grafito</t>
  </si>
  <si>
    <t>VPNE/σ</t>
  </si>
  <si>
    <t>σ = $839.4</t>
  </si>
  <si>
    <t>Resumen del escenario del ejercicio "Las raquetas de tenis de grafito"</t>
  </si>
  <si>
    <t>2. El proyecto del Banco del Ocio</t>
  </si>
  <si>
    <t>3. La máquina de helados de mifarmacia.com</t>
  </si>
  <si>
    <t>4. Los palos de golf de Tiger Woods</t>
  </si>
  <si>
    <t>5. Las raquetas de tenis de grafito</t>
  </si>
  <si>
    <t>El nuevo aditivo de British Petroleum</t>
  </si>
  <si>
    <t>σ = $3,340.1</t>
  </si>
  <si>
    <r>
      <t>σ</t>
    </r>
    <r>
      <rPr>
        <b/>
        <vertAlign val="superscript"/>
        <sz val="11"/>
        <color theme="1"/>
        <rFont val="Cambria"/>
        <family val="1"/>
      </rPr>
      <t>2</t>
    </r>
  </si>
  <si>
    <t>Resumen del escenario del ejercicio "El nuevo aditivo de British Petroleum"</t>
  </si>
  <si>
    <t>Instalación “cara” versus instalación “barata”</t>
  </si>
  <si>
    <t>El guion del estudiante de finanzas</t>
  </si>
  <si>
    <t>La nueva línea de chompas de d’Chómpaz</t>
  </si>
  <si>
    <t>800)     =</t>
  </si>
  <si>
    <t>900)   =</t>
  </si>
  <si>
    <t>El proyecto de la nueva heladería</t>
  </si>
  <si>
    <r>
      <t>(1+5%)^</t>
    </r>
    <r>
      <rPr>
        <vertAlign val="superscript"/>
        <sz val="11"/>
        <color theme="1"/>
        <rFont val="Cambria"/>
        <family val="1"/>
      </rPr>
      <t>1</t>
    </r>
  </si>
  <si>
    <r>
      <t>(1+5%)^</t>
    </r>
    <r>
      <rPr>
        <vertAlign val="superscript"/>
        <sz val="11"/>
        <color theme="1"/>
        <rFont val="Cambria"/>
        <family val="1"/>
      </rPr>
      <t>2</t>
    </r>
  </si>
  <si>
    <t>La frazada eléctrica de Tapitap</t>
  </si>
  <si>
    <r>
      <t>(1+10%)^</t>
    </r>
    <r>
      <rPr>
        <vertAlign val="superscript"/>
        <sz val="11"/>
        <color theme="1"/>
        <rFont val="Cambria"/>
        <family val="1"/>
      </rPr>
      <t>1</t>
    </r>
  </si>
  <si>
    <t>La implementación de una fábrica de autopartes</t>
  </si>
  <si>
    <r>
      <t>σ</t>
    </r>
    <r>
      <rPr>
        <b/>
        <vertAlign val="superscript"/>
        <sz val="11"/>
        <rFont val="Cambria"/>
        <family val="1"/>
      </rPr>
      <t>2</t>
    </r>
    <r>
      <rPr>
        <b/>
        <sz val="11"/>
        <rFont val="Cambria"/>
        <family val="1"/>
      </rPr>
      <t xml:space="preserve"> </t>
    </r>
    <r>
      <rPr>
        <b/>
        <vertAlign val="subscript"/>
        <sz val="11"/>
        <rFont val="Cambria"/>
        <family val="1"/>
      </rPr>
      <t>[VPN]</t>
    </r>
    <r>
      <rPr>
        <b/>
        <sz val="11"/>
        <rFont val="Cambria"/>
        <family val="1"/>
      </rPr>
      <t xml:space="preserve"> =</t>
    </r>
  </si>
  <si>
    <r>
      <t xml:space="preserve">σ </t>
    </r>
    <r>
      <rPr>
        <b/>
        <vertAlign val="subscript"/>
        <sz val="11"/>
        <rFont val="Cambria"/>
        <family val="1"/>
      </rPr>
      <t>[VPN]</t>
    </r>
    <r>
      <rPr>
        <b/>
        <sz val="11"/>
        <rFont val="Cambria"/>
        <family val="1"/>
      </rPr>
      <t xml:space="preserve"> =</t>
    </r>
  </si>
  <si>
    <t>Inversión =</t>
  </si>
  <si>
    <t xml:space="preserve">    tasa de dcto =</t>
  </si>
  <si>
    <r>
      <t>[VPN</t>
    </r>
    <r>
      <rPr>
        <b/>
        <vertAlign val="subscript"/>
        <sz val="11"/>
        <color theme="0"/>
        <rFont val="Cambria"/>
        <family val="1"/>
      </rPr>
      <t>i</t>
    </r>
    <r>
      <rPr>
        <b/>
        <sz val="11"/>
        <color theme="0"/>
        <rFont val="Cambria"/>
        <family val="1"/>
      </rPr>
      <t xml:space="preserve"> - VPNE]</t>
    </r>
    <r>
      <rPr>
        <b/>
        <vertAlign val="superscript"/>
        <sz val="11"/>
        <color theme="0"/>
        <rFont val="Cambria"/>
        <family val="1"/>
      </rPr>
      <t>2</t>
    </r>
  </si>
  <si>
    <r>
      <t>p x [VPN</t>
    </r>
    <r>
      <rPr>
        <b/>
        <vertAlign val="subscript"/>
        <sz val="11"/>
        <color theme="0"/>
        <rFont val="Cambria"/>
        <family val="1"/>
      </rPr>
      <t>i</t>
    </r>
    <r>
      <rPr>
        <b/>
        <sz val="11"/>
        <color theme="0"/>
        <rFont val="Cambria"/>
        <family val="1"/>
      </rPr>
      <t xml:space="preserve"> - VPNE]</t>
    </r>
    <r>
      <rPr>
        <b/>
        <vertAlign val="superscript"/>
        <sz val="11"/>
        <color theme="0"/>
        <rFont val="Cambria"/>
        <family val="1"/>
      </rPr>
      <t>2</t>
    </r>
  </si>
  <si>
    <t>El precio máximo de la maquinaria de MMC</t>
  </si>
  <si>
    <r>
      <t xml:space="preserve">(1 + 12.7%)^ </t>
    </r>
    <r>
      <rPr>
        <vertAlign val="superscript"/>
        <sz val="11"/>
        <color theme="1"/>
        <rFont val="Cambria"/>
        <family val="1"/>
      </rPr>
      <t>i</t>
    </r>
  </si>
  <si>
    <t>El suministro de energía del reino de Bosquivia</t>
  </si>
  <si>
    <t>El nivel de ventas de un proyecto de inversión</t>
  </si>
  <si>
    <t>El programa de becas del reino de Bosquivia</t>
  </si>
  <si>
    <t>La temporada de conciertos de la Sinfónica de Bosquivia</t>
  </si>
  <si>
    <r>
      <t xml:space="preserve">(1 + 1.17%)^ </t>
    </r>
    <r>
      <rPr>
        <vertAlign val="superscript"/>
        <sz val="11"/>
        <color theme="1"/>
        <rFont val="Cambria"/>
        <family val="1"/>
      </rPr>
      <t>i</t>
    </r>
  </si>
  <si>
    <t>El consumo de combustible de la Cía. de Camiones Mack</t>
  </si>
  <si>
    <t>El refresco de fresa de Gaseosas del Perú SAC</t>
  </si>
  <si>
    <t>Resumen del escenario del ejercicio "El refresco de fresa de Gaseosas del Perú SAC"</t>
  </si>
  <si>
    <t>6. El nuevo aditivo de British Petroleum</t>
  </si>
  <si>
    <t>7. El refresco de fresa de Gaseosas del Perú SAC</t>
  </si>
  <si>
    <t>8. El consumo de combustible de la Cía. de Camiones Mack</t>
  </si>
  <si>
    <t>9. La temporada de conciertos de la Sinfónica de Bosquivia</t>
  </si>
  <si>
    <t>10. El programa de becas del reino de Bosquivia</t>
  </si>
  <si>
    <t>11. El nivel de ventas de un proyecto de inversión</t>
  </si>
  <si>
    <t>12. El suministro de energía del reino de Bosquivia</t>
  </si>
  <si>
    <t>13. El precio máximo de la maquinaria de MMC</t>
  </si>
  <si>
    <t>14. La implementación de una fábrica de autopartes</t>
  </si>
  <si>
    <t>15. La frazada eléctrica de Tapitap</t>
  </si>
  <si>
    <t>16. El proyecto de la nueva heladería</t>
  </si>
  <si>
    <t>17. La nueva línea de chompas de d’Chómpaz</t>
  </si>
  <si>
    <t>18. El guion del estudiante de finanzas</t>
  </si>
  <si>
    <t>19. Instalación “cara” versus instalación “barata”</t>
  </si>
  <si>
    <t>WACC</t>
  </si>
  <si>
    <t>FC =</t>
  </si>
  <si>
    <t>factor act.</t>
  </si>
  <si>
    <t>Algebraicamente</t>
  </si>
  <si>
    <t>Método algebraico</t>
  </si>
  <si>
    <t>Función "Buscar objetivo"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</si>
</sst>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%"/>
    <numFmt numFmtId="165" formatCode="#,##0.0"/>
    <numFmt numFmtId="166" formatCode="0.0%"/>
    <numFmt numFmtId="167" formatCode="#,##0.0000"/>
    <numFmt numFmtId="168" formatCode="0.0000"/>
    <numFmt numFmtId="169" formatCode="#,##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bscript"/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Cambria"/>
      <family val="1"/>
    </font>
    <font>
      <sz val="10"/>
      <color theme="0"/>
      <name val="Calibri"/>
      <family val="2"/>
      <scheme val="minor"/>
    </font>
    <font>
      <b/>
      <sz val="18"/>
      <color theme="0"/>
      <name val="Cambria"/>
      <family val="1"/>
    </font>
    <font>
      <b/>
      <i/>
      <sz val="10"/>
      <color theme="0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1"/>
      <color theme="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theme="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vertAlign val="superscript"/>
      <sz val="11"/>
      <color theme="1"/>
      <name val="Cambria"/>
      <family val="1"/>
    </font>
    <font>
      <b/>
      <sz val="11"/>
      <color indexed="8"/>
      <name val="Cambria"/>
      <family val="1"/>
    </font>
    <font>
      <b/>
      <sz val="11"/>
      <color theme="8" tint="-0.499984740745262"/>
      <name val="Cambria"/>
      <family val="1"/>
    </font>
    <font>
      <b/>
      <vertAlign val="superscript"/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indexed="10"/>
      <name val="Cambria"/>
      <family val="1"/>
    </font>
    <font>
      <b/>
      <vertAlign val="subscript"/>
      <sz val="11"/>
      <name val="Cambria"/>
      <family val="1"/>
    </font>
    <font>
      <b/>
      <vertAlign val="superscript"/>
      <sz val="11"/>
      <name val="Cambria"/>
      <family val="1"/>
    </font>
    <font>
      <strike/>
      <sz val="11"/>
      <name val="Cambria"/>
      <family val="1"/>
    </font>
    <font>
      <b/>
      <vertAlign val="subscript"/>
      <sz val="11"/>
      <color theme="0"/>
      <name val="Cambria"/>
      <family val="1"/>
    </font>
    <font>
      <b/>
      <vertAlign val="superscript"/>
      <sz val="11"/>
      <color theme="0"/>
      <name val="Cambria"/>
      <family val="1"/>
    </font>
    <font>
      <sz val="11"/>
      <color theme="8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7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249977111117893"/>
        <bgColor indexed="24"/>
      </patternFill>
    </fill>
    <fill>
      <patternFill patternType="solid">
        <fgColor theme="8" tint="0.39997558519241921"/>
        <bgColor indexed="2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48">
    <xf numFmtId="0" fontId="0" fillId="0" borderId="0" xfId="0"/>
    <xf numFmtId="0" fontId="0" fillId="7" borderId="0" xfId="0" applyFill="1" applyBorder="1"/>
    <xf numFmtId="0" fontId="0" fillId="2" borderId="0" xfId="0" applyFill="1" applyBorder="1"/>
    <xf numFmtId="0" fontId="0" fillId="8" borderId="0" xfId="0" applyFont="1" applyFill="1" applyBorder="1"/>
    <xf numFmtId="0" fontId="10" fillId="7" borderId="0" xfId="0" applyFont="1" applyFill="1" applyBorder="1" applyAlignment="1">
      <alignment vertical="center"/>
    </xf>
    <xf numFmtId="0" fontId="0" fillId="2" borderId="0" xfId="0" applyFill="1"/>
    <xf numFmtId="4" fontId="12" fillId="2" borderId="0" xfId="0" applyNumberFormat="1" applyFont="1" applyFill="1"/>
    <xf numFmtId="4" fontId="13" fillId="2" borderId="0" xfId="0" applyNumberFormat="1" applyFont="1" applyFill="1"/>
    <xf numFmtId="4" fontId="12" fillId="2" borderId="11" xfId="0" applyNumberFormat="1" applyFont="1" applyFill="1" applyBorder="1"/>
    <xf numFmtId="4" fontId="12" fillId="2" borderId="12" xfId="0" applyNumberFormat="1" applyFont="1" applyFill="1" applyBorder="1"/>
    <xf numFmtId="4" fontId="12" fillId="2" borderId="13" xfId="0" applyNumberFormat="1" applyFont="1" applyFill="1" applyBorder="1"/>
    <xf numFmtId="4" fontId="12" fillId="2" borderId="0" xfId="0" applyNumberFormat="1" applyFont="1" applyFill="1" applyAlignment="1">
      <alignment horizontal="right"/>
    </xf>
    <xf numFmtId="4" fontId="13" fillId="2" borderId="3" xfId="0" applyNumberFormat="1" applyFont="1" applyFill="1" applyBorder="1"/>
    <xf numFmtId="4" fontId="12" fillId="2" borderId="0" xfId="0" applyNumberFormat="1" applyFont="1" applyFill="1" applyBorder="1"/>
    <xf numFmtId="4" fontId="13" fillId="2" borderId="0" xfId="0" applyNumberFormat="1" applyFont="1" applyFill="1" applyBorder="1"/>
    <xf numFmtId="10" fontId="13" fillId="2" borderId="0" xfId="1" applyNumberFormat="1" applyFont="1" applyFill="1"/>
    <xf numFmtId="3" fontId="12" fillId="2" borderId="0" xfId="0" applyNumberFormat="1" applyFont="1" applyFill="1" applyBorder="1"/>
    <xf numFmtId="4" fontId="12" fillId="2" borderId="16" xfId="0" applyNumberFormat="1" applyFont="1" applyFill="1" applyBorder="1"/>
    <xf numFmtId="4" fontId="12" fillId="2" borderId="17" xfId="0" applyNumberFormat="1" applyFont="1" applyFill="1" applyBorder="1"/>
    <xf numFmtId="4" fontId="12" fillId="2" borderId="6" xfId="0" applyNumberFormat="1" applyFont="1" applyFill="1" applyBorder="1"/>
    <xf numFmtId="4" fontId="12" fillId="2" borderId="18" xfId="0" applyNumberFormat="1" applyFont="1" applyFill="1" applyBorder="1"/>
    <xf numFmtId="3" fontId="12" fillId="2" borderId="18" xfId="0" applyNumberFormat="1" applyFont="1" applyFill="1" applyBorder="1"/>
    <xf numFmtId="9" fontId="12" fillId="2" borderId="18" xfId="1" applyFont="1" applyFill="1" applyBorder="1"/>
    <xf numFmtId="4" fontId="12" fillId="2" borderId="7" xfId="0" applyNumberFormat="1" applyFont="1" applyFill="1" applyBorder="1"/>
    <xf numFmtId="9" fontId="12" fillId="2" borderId="19" xfId="1" applyFont="1" applyFill="1" applyBorder="1"/>
    <xf numFmtId="4" fontId="13" fillId="2" borderId="6" xfId="0" applyNumberFormat="1" applyFont="1" applyFill="1" applyBorder="1" applyAlignment="1">
      <alignment horizontal="center"/>
    </xf>
    <xf numFmtId="4" fontId="13" fillId="2" borderId="18" xfId="0" applyNumberFormat="1" applyFont="1" applyFill="1" applyBorder="1" applyAlignment="1">
      <alignment horizontal="center"/>
    </xf>
    <xf numFmtId="4" fontId="11" fillId="9" borderId="1" xfId="0" applyNumberFormat="1" applyFont="1" applyFill="1" applyBorder="1"/>
    <xf numFmtId="4" fontId="11" fillId="9" borderId="4" xfId="0" applyNumberFormat="1" applyFont="1" applyFill="1" applyBorder="1" applyAlignment="1">
      <alignment horizontal="right"/>
    </xf>
    <xf numFmtId="4" fontId="11" fillId="9" borderId="2" xfId="0" applyNumberFormat="1" applyFont="1" applyFill="1" applyBorder="1" applyAlignment="1">
      <alignment horizontal="right"/>
    </xf>
    <xf numFmtId="4" fontId="13" fillId="2" borderId="2" xfId="0" applyNumberFormat="1" applyFont="1" applyFill="1" applyBorder="1"/>
    <xf numFmtId="4" fontId="13" fillId="10" borderId="1" xfId="0" applyNumberFormat="1" applyFont="1" applyFill="1" applyBorder="1"/>
    <xf numFmtId="4" fontId="13" fillId="10" borderId="4" xfId="0" applyNumberFormat="1" applyFont="1" applyFill="1" applyBorder="1"/>
    <xf numFmtId="4" fontId="13" fillId="10" borderId="2" xfId="0" applyNumberFormat="1" applyFont="1" applyFill="1" applyBorder="1"/>
    <xf numFmtId="4" fontId="12" fillId="2" borderId="1" xfId="0" applyNumberFormat="1" applyFont="1" applyFill="1" applyBorder="1"/>
    <xf numFmtId="4" fontId="12" fillId="9" borderId="1" xfId="0" applyNumberFormat="1" applyFont="1" applyFill="1" applyBorder="1"/>
    <xf numFmtId="4" fontId="14" fillId="9" borderId="1" xfId="0" applyNumberFormat="1" applyFont="1" applyFill="1" applyBorder="1"/>
    <xf numFmtId="4" fontId="14" fillId="9" borderId="0" xfId="0" applyNumberFormat="1" applyFont="1" applyFill="1"/>
    <xf numFmtId="4" fontId="14" fillId="9" borderId="16" xfId="0" applyNumberFormat="1" applyFont="1" applyFill="1" applyBorder="1"/>
    <xf numFmtId="4" fontId="11" fillId="9" borderId="4" xfId="0" applyNumberFormat="1" applyFont="1" applyFill="1" applyBorder="1"/>
    <xf numFmtId="4" fontId="11" fillId="9" borderId="2" xfId="0" applyNumberFormat="1" applyFont="1" applyFill="1" applyBorder="1" applyAlignment="1">
      <alignment horizontal="center"/>
    </xf>
    <xf numFmtId="10" fontId="12" fillId="2" borderId="18" xfId="1" applyNumberFormat="1" applyFont="1" applyFill="1" applyBorder="1"/>
    <xf numFmtId="10" fontId="13" fillId="2" borderId="18" xfId="1" applyNumberFormat="1" applyFont="1" applyFill="1" applyBorder="1"/>
    <xf numFmtId="4" fontId="12" fillId="2" borderId="3" xfId="0" applyNumberFormat="1" applyFont="1" applyFill="1" applyBorder="1"/>
    <xf numFmtId="10" fontId="12" fillId="2" borderId="19" xfId="1" applyNumberFormat="1" applyFont="1" applyFill="1" applyBorder="1"/>
    <xf numFmtId="9" fontId="12" fillId="2" borderId="0" xfId="1" applyFont="1" applyFill="1" applyBorder="1"/>
    <xf numFmtId="0" fontId="12" fillId="2" borderId="0" xfId="0" applyFont="1" applyFill="1"/>
    <xf numFmtId="10" fontId="12" fillId="2" borderId="0" xfId="1" applyNumberFormat="1" applyFont="1" applyFill="1" applyBorder="1"/>
    <xf numFmtId="3" fontId="12" fillId="2" borderId="0" xfId="0" applyNumberFormat="1" applyFont="1" applyFill="1"/>
    <xf numFmtId="4" fontId="12" fillId="2" borderId="15" xfId="0" applyNumberFormat="1" applyFont="1" applyFill="1" applyBorder="1"/>
    <xf numFmtId="4" fontId="15" fillId="2" borderId="0" xfId="0" applyNumberFormat="1" applyFont="1" applyFill="1" applyBorder="1"/>
    <xf numFmtId="4" fontId="15" fillId="2" borderId="0" xfId="0" applyNumberFormat="1" applyFont="1" applyFill="1"/>
    <xf numFmtId="4" fontId="15" fillId="2" borderId="0" xfId="0" applyNumberFormat="1" applyFont="1" applyFill="1" applyAlignment="1"/>
    <xf numFmtId="4" fontId="13" fillId="2" borderId="7" xfId="0" applyNumberFormat="1" applyFont="1" applyFill="1" applyBorder="1" applyAlignment="1">
      <alignment horizontal="center"/>
    </xf>
    <xf numFmtId="4" fontId="13" fillId="2" borderId="0" xfId="0" applyNumberFormat="1" applyFont="1" applyFill="1" applyAlignment="1">
      <alignment horizontal="center"/>
    </xf>
    <xf numFmtId="4" fontId="13" fillId="2" borderId="6" xfId="0" applyNumberFormat="1" applyFont="1" applyFill="1" applyBorder="1" applyAlignment="1">
      <alignment horizontal="right"/>
    </xf>
    <xf numFmtId="4" fontId="13" fillId="2" borderId="0" xfId="0" applyNumberFormat="1" applyFont="1" applyFill="1" applyBorder="1" applyAlignment="1">
      <alignment horizontal="right"/>
    </xf>
    <xf numFmtId="9" fontId="12" fillId="2" borderId="0" xfId="1" applyFont="1" applyFill="1"/>
    <xf numFmtId="4" fontId="13" fillId="2" borderId="0" xfId="0" applyNumberFormat="1" applyFont="1" applyFill="1" applyBorder="1" applyAlignment="1">
      <alignment horizontal="center"/>
    </xf>
    <xf numFmtId="4" fontId="13" fillId="2" borderId="12" xfId="0" applyNumberFormat="1" applyFont="1" applyFill="1" applyBorder="1" applyAlignment="1">
      <alignment horizontal="center"/>
    </xf>
    <xf numFmtId="9" fontId="12" fillId="2" borderId="3" xfId="1" applyFont="1" applyFill="1" applyBorder="1"/>
    <xf numFmtId="3" fontId="12" fillId="2" borderId="3" xfId="0" applyNumberFormat="1" applyFont="1" applyFill="1" applyBorder="1"/>
    <xf numFmtId="3" fontId="12" fillId="2" borderId="19" xfId="0" applyNumberFormat="1" applyFont="1" applyFill="1" applyBorder="1"/>
    <xf numFmtId="4" fontId="12" fillId="11" borderId="1" xfId="0" applyNumberFormat="1" applyFont="1" applyFill="1" applyBorder="1" applyAlignment="1">
      <alignment vertical="center"/>
    </xf>
    <xf numFmtId="4" fontId="13" fillId="11" borderId="4" xfId="0" applyNumberFormat="1" applyFont="1" applyFill="1" applyBorder="1" applyAlignment="1">
      <alignment horizontal="center" vertical="justify"/>
    </xf>
    <xf numFmtId="4" fontId="15" fillId="11" borderId="4" xfId="0" applyNumberFormat="1" applyFont="1" applyFill="1" applyBorder="1" applyAlignment="1">
      <alignment horizontal="center" vertical="center"/>
    </xf>
    <xf numFmtId="4" fontId="15" fillId="11" borderId="4" xfId="0" applyNumberFormat="1" applyFont="1" applyFill="1" applyBorder="1" applyAlignment="1">
      <alignment vertical="center"/>
    </xf>
    <xf numFmtId="4" fontId="15" fillId="11" borderId="2" xfId="0" applyNumberFormat="1" applyFont="1" applyFill="1" applyBorder="1" applyAlignment="1">
      <alignment horizontal="center" vertical="center"/>
    </xf>
    <xf numFmtId="4" fontId="15" fillId="2" borderId="2" xfId="0" applyNumberFormat="1" applyFont="1" applyFill="1" applyBorder="1"/>
    <xf numFmtId="4" fontId="12" fillId="2" borderId="5" xfId="0" applyNumberFormat="1" applyFont="1" applyFill="1" applyBorder="1"/>
    <xf numFmtId="4" fontId="15" fillId="10" borderId="1" xfId="0" applyNumberFormat="1" applyFont="1" applyFill="1" applyBorder="1"/>
    <xf numFmtId="4" fontId="15" fillId="10" borderId="4" xfId="0" applyNumberFormat="1" applyFont="1" applyFill="1" applyBorder="1"/>
    <xf numFmtId="4" fontId="15" fillId="10" borderId="2" xfId="0" applyNumberFormat="1" applyFont="1" applyFill="1" applyBorder="1"/>
    <xf numFmtId="4" fontId="14" fillId="9" borderId="5" xfId="0" applyNumberFormat="1" applyFont="1" applyFill="1" applyBorder="1"/>
    <xf numFmtId="4" fontId="12" fillId="10" borderId="7" xfId="0" applyNumberFormat="1" applyFont="1" applyFill="1" applyBorder="1"/>
    <xf numFmtId="4" fontId="16" fillId="10" borderId="3" xfId="0" applyNumberFormat="1" applyFont="1" applyFill="1" applyBorder="1"/>
    <xf numFmtId="4" fontId="16" fillId="10" borderId="19" xfId="0" applyNumberFormat="1" applyFont="1" applyFill="1" applyBorder="1"/>
    <xf numFmtId="4" fontId="12" fillId="8" borderId="16" xfId="0" applyNumberFormat="1" applyFont="1" applyFill="1" applyBorder="1"/>
    <xf numFmtId="10" fontId="15" fillId="8" borderId="17" xfId="1" applyNumberFormat="1" applyFont="1" applyFill="1" applyBorder="1"/>
    <xf numFmtId="4" fontId="12" fillId="8" borderId="6" xfId="0" applyNumberFormat="1" applyFont="1" applyFill="1" applyBorder="1"/>
    <xf numFmtId="10" fontId="15" fillId="8" borderId="18" xfId="1" applyNumberFormat="1" applyFont="1" applyFill="1" applyBorder="1"/>
    <xf numFmtId="4" fontId="12" fillId="8" borderId="7" xfId="0" applyNumberFormat="1" applyFont="1" applyFill="1" applyBorder="1"/>
    <xf numFmtId="4" fontId="15" fillId="8" borderId="19" xfId="0" applyNumberFormat="1" applyFont="1" applyFill="1" applyBorder="1"/>
    <xf numFmtId="4" fontId="13" fillId="2" borderId="8" xfId="0" applyNumberFormat="1" applyFont="1" applyFill="1" applyBorder="1" applyAlignment="1">
      <alignment horizontal="right"/>
    </xf>
    <xf numFmtId="4" fontId="13" fillId="2" borderId="7" xfId="0" applyNumberFormat="1" applyFont="1" applyFill="1" applyBorder="1" applyAlignment="1">
      <alignment horizontal="right"/>
    </xf>
    <xf numFmtId="4" fontId="13" fillId="2" borderId="21" xfId="0" applyNumberFormat="1" applyFont="1" applyFill="1" applyBorder="1" applyAlignment="1">
      <alignment horizontal="right"/>
    </xf>
    <xf numFmtId="4" fontId="13" fillId="11" borderId="1" xfId="0" applyNumberFormat="1" applyFont="1" applyFill="1" applyBorder="1" applyAlignment="1">
      <alignment horizontal="center"/>
    </xf>
    <xf numFmtId="4" fontId="13" fillId="11" borderId="4" xfId="0" applyNumberFormat="1" applyFont="1" applyFill="1" applyBorder="1" applyAlignment="1">
      <alignment horizontal="center"/>
    </xf>
    <xf numFmtId="4" fontId="13" fillId="11" borderId="2" xfId="0" applyNumberFormat="1" applyFont="1" applyFill="1" applyBorder="1" applyAlignment="1">
      <alignment horizontal="center"/>
    </xf>
    <xf numFmtId="4" fontId="13" fillId="11" borderId="5" xfId="0" applyNumberFormat="1" applyFont="1" applyFill="1" applyBorder="1" applyAlignment="1">
      <alignment horizontal="center"/>
    </xf>
    <xf numFmtId="4" fontId="12" fillId="11" borderId="6" xfId="0" applyNumberFormat="1" applyFont="1" applyFill="1" applyBorder="1"/>
    <xf numFmtId="4" fontId="12" fillId="10" borderId="1" xfId="0" applyNumberFormat="1" applyFont="1" applyFill="1" applyBorder="1"/>
    <xf numFmtId="9" fontId="12" fillId="8" borderId="17" xfId="1" applyFont="1" applyFill="1" applyBorder="1"/>
    <xf numFmtId="9" fontId="12" fillId="8" borderId="18" xfId="1" applyFont="1" applyFill="1" applyBorder="1"/>
    <xf numFmtId="3" fontId="12" fillId="2" borderId="0" xfId="0" applyNumberFormat="1" applyFont="1" applyFill="1" applyBorder="1" applyAlignment="1">
      <alignment horizontal="right"/>
    </xf>
    <xf numFmtId="2" fontId="12" fillId="2" borderId="0" xfId="1" applyNumberFormat="1" applyFont="1" applyFill="1" applyBorder="1"/>
    <xf numFmtId="2" fontId="12" fillId="2" borderId="15" xfId="1" applyNumberFormat="1" applyFont="1" applyFill="1" applyBorder="1"/>
    <xf numFmtId="4" fontId="12" fillId="2" borderId="10" xfId="0" applyNumberFormat="1" applyFont="1" applyFill="1" applyBorder="1"/>
    <xf numFmtId="4" fontId="15" fillId="2" borderId="0" xfId="0" applyNumberFormat="1" applyFont="1" applyFill="1" applyBorder="1" applyAlignment="1">
      <alignment horizontal="center"/>
    </xf>
    <xf numFmtId="4" fontId="12" fillId="2" borderId="5" xfId="0" applyNumberFormat="1" applyFont="1" applyFill="1" applyBorder="1" applyAlignment="1">
      <alignment horizontal="center"/>
    </xf>
    <xf numFmtId="4" fontId="12" fillId="2" borderId="0" xfId="0" quotePrefix="1" applyNumberFormat="1" applyFont="1" applyFill="1"/>
    <xf numFmtId="4" fontId="12" fillId="11" borderId="1" xfId="0" applyNumberFormat="1" applyFont="1" applyFill="1" applyBorder="1"/>
    <xf numFmtId="4" fontId="13" fillId="11" borderId="4" xfId="0" applyNumberFormat="1" applyFont="1" applyFill="1" applyBorder="1" applyAlignment="1">
      <alignment horizontal="right"/>
    </xf>
    <xf numFmtId="4" fontId="13" fillId="11" borderId="2" xfId="0" applyNumberFormat="1" applyFont="1" applyFill="1" applyBorder="1" applyAlignment="1">
      <alignment horizontal="right"/>
    </xf>
    <xf numFmtId="4" fontId="11" fillId="9" borderId="4" xfId="0" applyNumberFormat="1" applyFont="1" applyFill="1" applyBorder="1" applyAlignment="1">
      <alignment horizontal="center"/>
    </xf>
    <xf numFmtId="4" fontId="15" fillId="11" borderId="5" xfId="0" applyNumberFormat="1" applyFont="1" applyFill="1" applyBorder="1" applyAlignment="1">
      <alignment horizontal="center"/>
    </xf>
    <xf numFmtId="4" fontId="15" fillId="11" borderId="16" xfId="0" applyNumberFormat="1" applyFont="1" applyFill="1" applyBorder="1" applyAlignment="1">
      <alignment horizontal="center"/>
    </xf>
    <xf numFmtId="3" fontId="12" fillId="10" borderId="2" xfId="0" applyNumberFormat="1" applyFont="1" applyFill="1" applyBorder="1"/>
    <xf numFmtId="4" fontId="12" fillId="10" borderId="5" xfId="0" applyNumberFormat="1" applyFont="1" applyFill="1" applyBorder="1"/>
    <xf numFmtId="10" fontId="12" fillId="2" borderId="2" xfId="1" applyNumberFormat="1" applyFont="1" applyFill="1" applyBorder="1"/>
    <xf numFmtId="4" fontId="13" fillId="2" borderId="0" xfId="0" applyNumberFormat="1" applyFont="1" applyFill="1" applyAlignment="1"/>
    <xf numFmtId="4" fontId="14" fillId="2" borderId="0" xfId="0" applyNumberFormat="1" applyFont="1" applyFill="1"/>
    <xf numFmtId="10" fontId="12" fillId="2" borderId="5" xfId="1" applyNumberFormat="1" applyFont="1" applyFill="1" applyBorder="1"/>
    <xf numFmtId="4" fontId="11" fillId="9" borderId="0" xfId="0" applyNumberFormat="1" applyFont="1" applyFill="1" applyBorder="1" applyAlignment="1">
      <alignment horizontal="center" vertical="center"/>
    </xf>
    <xf numFmtId="4" fontId="12" fillId="11" borderId="4" xfId="0" applyNumberFormat="1" applyFont="1" applyFill="1" applyBorder="1"/>
    <xf numFmtId="4" fontId="12" fillId="11" borderId="2" xfId="0" applyNumberFormat="1" applyFont="1" applyFill="1" applyBorder="1"/>
    <xf numFmtId="4" fontId="14" fillId="9" borderId="16" xfId="0" applyNumberFormat="1" applyFont="1" applyFill="1" applyBorder="1" applyAlignment="1">
      <alignment vertical="center"/>
    </xf>
    <xf numFmtId="4" fontId="14" fillId="9" borderId="20" xfId="0" applyNumberFormat="1" applyFont="1" applyFill="1" applyBorder="1" applyAlignment="1">
      <alignment vertical="center"/>
    </xf>
    <xf numFmtId="4" fontId="14" fillId="9" borderId="17" xfId="0" applyNumberFormat="1" applyFont="1" applyFill="1" applyBorder="1" applyAlignment="1">
      <alignment vertical="center"/>
    </xf>
    <xf numFmtId="4" fontId="11" fillId="9" borderId="6" xfId="0" applyNumberFormat="1" applyFont="1" applyFill="1" applyBorder="1" applyAlignment="1">
      <alignment horizontal="center" vertical="center"/>
    </xf>
    <xf numFmtId="4" fontId="11" fillId="9" borderId="18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/>
    <xf numFmtId="4" fontId="12" fillId="2" borderId="19" xfId="0" applyNumberFormat="1" applyFont="1" applyFill="1" applyBorder="1"/>
    <xf numFmtId="4" fontId="13" fillId="2" borderId="18" xfId="0" applyNumberFormat="1" applyFont="1" applyFill="1" applyBorder="1"/>
    <xf numFmtId="4" fontId="13" fillId="8" borderId="0" xfId="0" applyNumberFormat="1" applyFont="1" applyFill="1" applyBorder="1"/>
    <xf numFmtId="4" fontId="13" fillId="8" borderId="1" xfId="0" applyNumberFormat="1" applyFont="1" applyFill="1" applyBorder="1"/>
    <xf numFmtId="4" fontId="13" fillId="8" borderId="4" xfId="0" applyNumberFormat="1" applyFont="1" applyFill="1" applyBorder="1"/>
    <xf numFmtId="4" fontId="13" fillId="8" borderId="2" xfId="0" applyNumberFormat="1" applyFont="1" applyFill="1" applyBorder="1"/>
    <xf numFmtId="4" fontId="13" fillId="2" borderId="17" xfId="0" applyNumberFormat="1" applyFont="1" applyFill="1" applyBorder="1"/>
    <xf numFmtId="4" fontId="13" fillId="2" borderId="19" xfId="0" applyNumberFormat="1" applyFont="1" applyFill="1" applyBorder="1" applyAlignment="1">
      <alignment horizontal="right"/>
    </xf>
    <xf numFmtId="4" fontId="13" fillId="2" borderId="5" xfId="0" applyNumberFormat="1" applyFont="1" applyFill="1" applyBorder="1"/>
    <xf numFmtId="10" fontId="13" fillId="2" borderId="5" xfId="1" applyNumberFormat="1" applyFont="1" applyFill="1" applyBorder="1"/>
    <xf numFmtId="4" fontId="13" fillId="2" borderId="3" xfId="0" applyNumberFormat="1" applyFont="1" applyFill="1" applyBorder="1" applyAlignment="1">
      <alignment horizontal="right"/>
    </xf>
    <xf numFmtId="4" fontId="14" fillId="2" borderId="0" xfId="0" applyNumberFormat="1" applyFont="1" applyFill="1" applyBorder="1"/>
    <xf numFmtId="4" fontId="11" fillId="9" borderId="17" xfId="0" applyNumberFormat="1" applyFont="1" applyFill="1" applyBorder="1" applyAlignment="1">
      <alignment horizontal="center"/>
    </xf>
    <xf numFmtId="4" fontId="13" fillId="2" borderId="19" xfId="0" applyNumberFormat="1" applyFont="1" applyFill="1" applyBorder="1"/>
    <xf numFmtId="4" fontId="11" fillId="9" borderId="5" xfId="0" applyNumberFormat="1" applyFont="1" applyFill="1" applyBorder="1" applyAlignment="1">
      <alignment horizontal="center"/>
    </xf>
    <xf numFmtId="4" fontId="12" fillId="2" borderId="3" xfId="0" applyNumberFormat="1" applyFont="1" applyFill="1" applyBorder="1" applyAlignment="1">
      <alignment horizontal="center"/>
    </xf>
    <xf numFmtId="4" fontId="12" fillId="2" borderId="0" xfId="1" applyNumberFormat="1" applyFont="1" applyFill="1" applyBorder="1"/>
    <xf numFmtId="4" fontId="12" fillId="2" borderId="0" xfId="0" applyNumberFormat="1" applyFont="1" applyFill="1" applyBorder="1" applyAlignment="1">
      <alignment horizontal="center"/>
    </xf>
    <xf numFmtId="4" fontId="12" fillId="2" borderId="0" xfId="0" applyNumberFormat="1" applyFont="1" applyFill="1" applyBorder="1" applyAlignment="1">
      <alignment horizontal="right"/>
    </xf>
    <xf numFmtId="4" fontId="16" fillId="2" borderId="5" xfId="0" applyNumberFormat="1" applyFont="1" applyFill="1" applyBorder="1"/>
    <xf numFmtId="9" fontId="15" fillId="2" borderId="0" xfId="1" applyFont="1" applyFill="1"/>
    <xf numFmtId="4" fontId="12" fillId="2" borderId="0" xfId="0" applyNumberFormat="1" applyFont="1" applyFill="1" applyBorder="1" applyAlignment="1"/>
    <xf numFmtId="0" fontId="13" fillId="2" borderId="0" xfId="0" applyFont="1" applyFill="1"/>
    <xf numFmtId="0" fontId="13" fillId="2" borderId="0" xfId="0" quotePrefix="1" applyFont="1" applyFill="1"/>
    <xf numFmtId="0" fontId="18" fillId="2" borderId="0" xfId="0" applyFont="1" applyFill="1"/>
    <xf numFmtId="0" fontId="12" fillId="2" borderId="0" xfId="0" applyFont="1" applyFill="1" applyBorder="1"/>
    <xf numFmtId="165" fontId="13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2" fillId="2" borderId="0" xfId="0" quotePrefix="1" applyFont="1" applyFill="1" applyAlignment="1">
      <alignment horizontal="right"/>
    </xf>
    <xf numFmtId="0" fontId="12" fillId="2" borderId="0" xfId="0" quotePrefix="1" applyFont="1" applyFill="1" applyAlignment="1">
      <alignment horizontal="left"/>
    </xf>
    <xf numFmtId="10" fontId="13" fillId="2" borderId="0" xfId="0" applyNumberFormat="1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/>
    <xf numFmtId="10" fontId="13" fillId="2" borderId="0" xfId="0" applyNumberFormat="1" applyFont="1" applyFill="1" applyBorder="1"/>
    <xf numFmtId="4" fontId="12" fillId="2" borderId="19" xfId="0" applyNumberFormat="1" applyFont="1" applyFill="1" applyBorder="1" applyAlignment="1">
      <alignment horizontal="center"/>
    </xf>
    <xf numFmtId="4" fontId="12" fillId="11" borderId="4" xfId="0" applyNumberFormat="1" applyFont="1" applyFill="1" applyBorder="1" applyAlignment="1">
      <alignment horizontal="right"/>
    </xf>
    <xf numFmtId="4" fontId="12" fillId="11" borderId="2" xfId="0" applyNumberFormat="1" applyFont="1" applyFill="1" applyBorder="1" applyAlignment="1">
      <alignment horizontal="right"/>
    </xf>
    <xf numFmtId="4" fontId="11" fillId="9" borderId="16" xfId="0" applyNumberFormat="1" applyFont="1" applyFill="1" applyBorder="1"/>
    <xf numFmtId="4" fontId="14" fillId="9" borderId="20" xfId="0" applyNumberFormat="1" applyFont="1" applyFill="1" applyBorder="1" applyAlignment="1">
      <alignment horizontal="center"/>
    </xf>
    <xf numFmtId="4" fontId="14" fillId="9" borderId="17" xfId="0" applyNumberFormat="1" applyFont="1" applyFill="1" applyBorder="1" applyAlignment="1">
      <alignment horizontal="center"/>
    </xf>
    <xf numFmtId="4" fontId="15" fillId="11" borderId="4" xfId="0" applyNumberFormat="1" applyFont="1" applyFill="1" applyBorder="1" applyAlignment="1">
      <alignment horizontal="right"/>
    </xf>
    <xf numFmtId="4" fontId="15" fillId="11" borderId="2" xfId="0" applyNumberFormat="1" applyFont="1" applyFill="1" applyBorder="1" applyAlignment="1">
      <alignment horizontal="right"/>
    </xf>
    <xf numFmtId="4" fontId="11" fillId="9" borderId="5" xfId="0" applyNumberFormat="1" applyFont="1" applyFill="1" applyBorder="1"/>
    <xf numFmtId="4" fontId="15" fillId="11" borderId="1" xfId="0" applyNumberFormat="1" applyFont="1" applyFill="1" applyBorder="1" applyAlignment="1">
      <alignment horizontal="center"/>
    </xf>
    <xf numFmtId="4" fontId="15" fillId="11" borderId="5" xfId="0" applyNumberFormat="1" applyFont="1" applyFill="1" applyBorder="1" applyAlignment="1">
      <alignment horizontal="right"/>
    </xf>
    <xf numFmtId="4" fontId="12" fillId="2" borderId="3" xfId="0" applyNumberFormat="1" applyFont="1" applyFill="1" applyBorder="1" applyAlignment="1"/>
    <xf numFmtId="4" fontId="12" fillId="2" borderId="19" xfId="0" applyNumberFormat="1" applyFont="1" applyFill="1" applyBorder="1" applyAlignment="1"/>
    <xf numFmtId="9" fontId="12" fillId="2" borderId="4" xfId="1" applyFont="1" applyFill="1" applyBorder="1"/>
    <xf numFmtId="9" fontId="12" fillId="2" borderId="2" xfId="1" applyFont="1" applyFill="1" applyBorder="1"/>
    <xf numFmtId="4" fontId="12" fillId="2" borderId="20" xfId="0" applyNumberFormat="1" applyFont="1" applyFill="1" applyBorder="1"/>
    <xf numFmtId="4" fontId="12" fillId="12" borderId="16" xfId="0" applyNumberFormat="1" applyFont="1" applyFill="1" applyBorder="1"/>
    <xf numFmtId="4" fontId="12" fillId="8" borderId="0" xfId="0" applyNumberFormat="1" applyFont="1" applyFill="1" applyBorder="1"/>
    <xf numFmtId="4" fontId="12" fillId="8" borderId="18" xfId="0" applyNumberFormat="1" applyFont="1" applyFill="1" applyBorder="1"/>
    <xf numFmtId="4" fontId="12" fillId="8" borderId="3" xfId="0" applyNumberFormat="1" applyFont="1" applyFill="1" applyBorder="1"/>
    <xf numFmtId="4" fontId="12" fillId="8" borderId="19" xfId="0" applyNumberFormat="1" applyFont="1" applyFill="1" applyBorder="1"/>
    <xf numFmtId="4" fontId="12" fillId="8" borderId="4" xfId="0" applyNumberFormat="1" applyFont="1" applyFill="1" applyBorder="1"/>
    <xf numFmtId="4" fontId="12" fillId="8" borderId="2" xfId="0" applyNumberFormat="1" applyFont="1" applyFill="1" applyBorder="1"/>
    <xf numFmtId="4" fontId="12" fillId="12" borderId="5" xfId="0" applyNumberFormat="1" applyFont="1" applyFill="1" applyBorder="1"/>
    <xf numFmtId="4" fontId="12" fillId="8" borderId="5" xfId="0" applyNumberFormat="1" applyFont="1" applyFill="1" applyBorder="1"/>
    <xf numFmtId="4" fontId="12" fillId="8" borderId="21" xfId="0" applyNumberFormat="1" applyFont="1" applyFill="1" applyBorder="1"/>
    <xf numFmtId="4" fontId="12" fillId="12" borderId="20" xfId="0" applyNumberFormat="1" applyFont="1" applyFill="1" applyBorder="1" applyAlignment="1">
      <alignment horizontal="center"/>
    </xf>
    <xf numFmtId="10" fontId="12" fillId="8" borderId="17" xfId="1" applyNumberFormat="1" applyFont="1" applyFill="1" applyBorder="1"/>
    <xf numFmtId="4" fontId="12" fillId="8" borderId="6" xfId="0" quotePrefix="1" applyNumberFormat="1" applyFont="1" applyFill="1" applyBorder="1"/>
    <xf numFmtId="10" fontId="12" fillId="8" borderId="18" xfId="1" applyNumberFormat="1" applyFont="1" applyFill="1" applyBorder="1"/>
    <xf numFmtId="4" fontId="13" fillId="8" borderId="7" xfId="0" applyNumberFormat="1" applyFont="1" applyFill="1" applyBorder="1"/>
    <xf numFmtId="10" fontId="13" fillId="8" borderId="19" xfId="1" applyNumberFormat="1" applyFont="1" applyFill="1" applyBorder="1"/>
    <xf numFmtId="4" fontId="11" fillId="9" borderId="4" xfId="0" quotePrefix="1" applyNumberFormat="1" applyFont="1" applyFill="1" applyBorder="1" applyAlignment="1">
      <alignment horizontal="center"/>
    </xf>
    <xf numFmtId="4" fontId="11" fillId="9" borderId="2" xfId="0" quotePrefix="1" applyNumberFormat="1" applyFont="1" applyFill="1" applyBorder="1" applyAlignment="1">
      <alignment horizontal="center"/>
    </xf>
    <xf numFmtId="10" fontId="13" fillId="2" borderId="6" xfId="1" applyNumberFormat="1" applyFont="1" applyFill="1" applyBorder="1"/>
    <xf numFmtId="4" fontId="13" fillId="2" borderId="0" xfId="0" quotePrefix="1" applyNumberFormat="1" applyFont="1" applyFill="1" applyBorder="1" applyAlignment="1">
      <alignment horizontal="center"/>
    </xf>
    <xf numFmtId="4" fontId="13" fillId="2" borderId="18" xfId="0" quotePrefix="1" applyNumberFormat="1" applyFont="1" applyFill="1" applyBorder="1" applyAlignment="1">
      <alignment horizontal="center"/>
    </xf>
    <xf numFmtId="10" fontId="13" fillId="2" borderId="7" xfId="1" applyNumberFormat="1" applyFont="1" applyFill="1" applyBorder="1"/>
    <xf numFmtId="10" fontId="13" fillId="2" borderId="1" xfId="1" applyNumberFormat="1" applyFont="1" applyFill="1" applyBorder="1"/>
    <xf numFmtId="4" fontId="12" fillId="2" borderId="4" xfId="0" applyNumberFormat="1" applyFont="1" applyFill="1" applyBorder="1"/>
    <xf numFmtId="4" fontId="13" fillId="2" borderId="4" xfId="0" quotePrefix="1" applyNumberFormat="1" applyFont="1" applyFill="1" applyBorder="1" applyAlignment="1">
      <alignment horizontal="center"/>
    </xf>
    <xf numFmtId="4" fontId="12" fillId="2" borderId="2" xfId="0" applyNumberFormat="1" applyFont="1" applyFill="1" applyBorder="1"/>
    <xf numFmtId="4" fontId="13" fillId="2" borderId="2" xfId="0" quotePrefix="1" applyNumberFormat="1" applyFont="1" applyFill="1" applyBorder="1" applyAlignment="1">
      <alignment horizontal="center"/>
    </xf>
    <xf numFmtId="4" fontId="12" fillId="2" borderId="0" xfId="0" applyNumberFormat="1" applyFont="1" applyFill="1" applyAlignment="1">
      <alignment horizontal="center"/>
    </xf>
    <xf numFmtId="0" fontId="12" fillId="0" borderId="0" xfId="0" applyFont="1"/>
    <xf numFmtId="0" fontId="18" fillId="3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vertical="top" wrapText="1"/>
    </xf>
    <xf numFmtId="0" fontId="13" fillId="14" borderId="1" xfId="0" applyFont="1" applyFill="1" applyBorder="1" applyAlignment="1">
      <alignment horizontal="left"/>
    </xf>
    <xf numFmtId="0" fontId="13" fillId="14" borderId="4" xfId="0" applyFont="1" applyFill="1" applyBorder="1" applyAlignment="1">
      <alignment horizontal="left"/>
    </xf>
    <xf numFmtId="0" fontId="12" fillId="14" borderId="4" xfId="0" applyFont="1" applyFill="1" applyBorder="1" applyAlignment="1">
      <alignment horizontal="right"/>
    </xf>
    <xf numFmtId="0" fontId="12" fillId="14" borderId="2" xfId="0" applyFont="1" applyFill="1" applyBorder="1" applyAlignment="1">
      <alignment horizontal="right"/>
    </xf>
    <xf numFmtId="0" fontId="11" fillId="13" borderId="16" xfId="0" applyFont="1" applyFill="1" applyBorder="1" applyAlignment="1">
      <alignment horizontal="left"/>
    </xf>
    <xf numFmtId="0" fontId="11" fillId="13" borderId="20" xfId="0" applyFont="1" applyFill="1" applyBorder="1" applyAlignment="1">
      <alignment horizontal="left"/>
    </xf>
    <xf numFmtId="0" fontId="14" fillId="13" borderId="20" xfId="0" applyFont="1" applyFill="1" applyBorder="1" applyAlignment="1">
      <alignment horizontal="right"/>
    </xf>
    <xf numFmtId="0" fontId="14" fillId="13" borderId="17" xfId="0" applyFont="1" applyFill="1" applyBorder="1" applyAlignment="1">
      <alignment horizontal="right"/>
    </xf>
    <xf numFmtId="0" fontId="18" fillId="3" borderId="6" xfId="0" applyFont="1" applyFill="1" applyBorder="1" applyAlignment="1">
      <alignment horizontal="left"/>
    </xf>
    <xf numFmtId="0" fontId="12" fillId="0" borderId="18" xfId="0" applyFont="1" applyFill="1" applyBorder="1" applyAlignment="1">
      <alignment vertical="top" wrapText="1"/>
    </xf>
    <xf numFmtId="165" fontId="12" fillId="2" borderId="0" xfId="0" applyNumberFormat="1" applyFont="1" applyFill="1"/>
    <xf numFmtId="165" fontId="12" fillId="11" borderId="1" xfId="0" applyNumberFormat="1" applyFont="1" applyFill="1" applyBorder="1"/>
    <xf numFmtId="165" fontId="12" fillId="11" borderId="4" xfId="0" applyNumberFormat="1" applyFont="1" applyFill="1" applyBorder="1" applyAlignment="1">
      <alignment horizontal="center"/>
    </xf>
    <xf numFmtId="165" fontId="12" fillId="11" borderId="2" xfId="0" applyNumberFormat="1" applyFont="1" applyFill="1" applyBorder="1" applyAlignment="1">
      <alignment horizontal="center"/>
    </xf>
    <xf numFmtId="165" fontId="15" fillId="2" borderId="0" xfId="0" applyNumberFormat="1" applyFont="1" applyFill="1"/>
    <xf numFmtId="165" fontId="12" fillId="2" borderId="6" xfId="0" applyNumberFormat="1" applyFont="1" applyFill="1" applyBorder="1"/>
    <xf numFmtId="165" fontId="16" fillId="2" borderId="6" xfId="0" applyNumberFormat="1" applyFont="1" applyFill="1" applyBorder="1"/>
    <xf numFmtId="165" fontId="12" fillId="2" borderId="0" xfId="0" applyNumberFormat="1" applyFont="1" applyFill="1" applyBorder="1"/>
    <xf numFmtId="165" fontId="12" fillId="2" borderId="18" xfId="0" applyNumberFormat="1" applyFont="1" applyFill="1" applyBorder="1"/>
    <xf numFmtId="166" fontId="12" fillId="2" borderId="0" xfId="0" applyNumberFormat="1" applyFont="1" applyFill="1" applyBorder="1"/>
    <xf numFmtId="166" fontId="12" fillId="2" borderId="18" xfId="0" applyNumberFormat="1" applyFont="1" applyFill="1" applyBorder="1"/>
    <xf numFmtId="165" fontId="12" fillId="2" borderId="7" xfId="0" applyNumberFormat="1" applyFont="1" applyFill="1" applyBorder="1"/>
    <xf numFmtId="165" fontId="12" fillId="2" borderId="3" xfId="0" applyNumberFormat="1" applyFont="1" applyFill="1" applyBorder="1"/>
    <xf numFmtId="165" fontId="12" fillId="2" borderId="19" xfId="0" applyNumberFormat="1" applyFont="1" applyFill="1" applyBorder="1"/>
    <xf numFmtId="165" fontId="16" fillId="2" borderId="0" xfId="0" applyNumberFormat="1" applyFont="1" applyFill="1" applyAlignment="1">
      <alignment horizontal="right"/>
    </xf>
    <xf numFmtId="165" fontId="11" fillId="9" borderId="1" xfId="0" applyNumberFormat="1" applyFont="1" applyFill="1" applyBorder="1"/>
    <xf numFmtId="165" fontId="11" fillId="9" borderId="4" xfId="0" applyNumberFormat="1" applyFont="1" applyFill="1" applyBorder="1" applyAlignment="1">
      <alignment horizontal="right"/>
    </xf>
    <xf numFmtId="165" fontId="11" fillId="9" borderId="2" xfId="0" applyNumberFormat="1" applyFont="1" applyFill="1" applyBorder="1" applyAlignment="1">
      <alignment horizontal="right"/>
    </xf>
    <xf numFmtId="165" fontId="13" fillId="10" borderId="1" xfId="0" applyNumberFormat="1" applyFont="1" applyFill="1" applyBorder="1"/>
    <xf numFmtId="165" fontId="13" fillId="10" borderId="4" xfId="0" applyNumberFormat="1" applyFont="1" applyFill="1" applyBorder="1"/>
    <xf numFmtId="165" fontId="13" fillId="10" borderId="2" xfId="0" applyNumberFormat="1" applyFont="1" applyFill="1" applyBorder="1"/>
    <xf numFmtId="165" fontId="14" fillId="9" borderId="5" xfId="0" applyNumberFormat="1" applyFont="1" applyFill="1" applyBorder="1"/>
    <xf numFmtId="165" fontId="15" fillId="2" borderId="2" xfId="0" applyNumberFormat="1" applyFont="1" applyFill="1" applyBorder="1"/>
    <xf numFmtId="9" fontId="11" fillId="9" borderId="2" xfId="1" applyFont="1" applyFill="1" applyBorder="1" applyAlignment="1">
      <alignment horizontal="center"/>
    </xf>
    <xf numFmtId="165" fontId="14" fillId="9" borderId="1" xfId="0" applyNumberFormat="1" applyFont="1" applyFill="1" applyBorder="1"/>
    <xf numFmtId="165" fontId="14" fillId="9" borderId="4" xfId="0" applyNumberFormat="1" applyFont="1" applyFill="1" applyBorder="1" applyAlignment="1">
      <alignment horizontal="right"/>
    </xf>
    <xf numFmtId="165" fontId="14" fillId="9" borderId="2" xfId="0" applyNumberFormat="1" applyFont="1" applyFill="1" applyBorder="1" applyAlignment="1">
      <alignment horizontal="right"/>
    </xf>
    <xf numFmtId="165" fontId="12" fillId="2" borderId="1" xfId="0" applyNumberFormat="1" applyFont="1" applyFill="1" applyBorder="1"/>
    <xf numFmtId="165" fontId="11" fillId="9" borderId="5" xfId="0" applyNumberFormat="1" applyFont="1" applyFill="1" applyBorder="1"/>
    <xf numFmtId="165" fontId="12" fillId="10" borderId="5" xfId="0" applyNumberFormat="1" applyFont="1" applyFill="1" applyBorder="1"/>
    <xf numFmtId="165" fontId="16" fillId="10" borderId="5" xfId="0" applyNumberFormat="1" applyFont="1" applyFill="1" applyBorder="1"/>
    <xf numFmtId="4" fontId="13" fillId="8" borderId="5" xfId="0" applyNumberFormat="1" applyFont="1" applyFill="1" applyBorder="1"/>
    <xf numFmtId="165" fontId="12" fillId="8" borderId="5" xfId="0" applyNumberFormat="1" applyFont="1" applyFill="1" applyBorder="1"/>
    <xf numFmtId="165" fontId="12" fillId="8" borderId="1" xfId="0" applyNumberFormat="1" applyFont="1" applyFill="1" applyBorder="1"/>
    <xf numFmtId="165" fontId="12" fillId="8" borderId="3" xfId="0" applyNumberFormat="1" applyFont="1" applyFill="1" applyBorder="1"/>
    <xf numFmtId="165" fontId="12" fillId="8" borderId="19" xfId="0" applyNumberFormat="1" applyFont="1" applyFill="1" applyBorder="1"/>
    <xf numFmtId="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/>
    <xf numFmtId="0" fontId="13" fillId="14" borderId="3" xfId="0" applyFont="1" applyFill="1" applyBorder="1" applyAlignment="1">
      <alignment horizontal="left"/>
    </xf>
    <xf numFmtId="0" fontId="12" fillId="14" borderId="3" xfId="0" applyFont="1" applyFill="1" applyBorder="1" applyAlignment="1">
      <alignment horizontal="right"/>
    </xf>
    <xf numFmtId="0" fontId="13" fillId="14" borderId="7" xfId="0" applyFont="1" applyFill="1" applyBorder="1" applyAlignment="1">
      <alignment horizontal="left"/>
    </xf>
    <xf numFmtId="0" fontId="12" fillId="14" borderId="19" xfId="0" applyFont="1" applyFill="1" applyBorder="1" applyAlignment="1">
      <alignment horizontal="right"/>
    </xf>
    <xf numFmtId="0" fontId="18" fillId="5" borderId="6" xfId="0" applyFont="1" applyFill="1" applyBorder="1" applyAlignment="1">
      <alignment horizontal="left"/>
    </xf>
    <xf numFmtId="0" fontId="18" fillId="5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vertical="top" wrapText="1"/>
    </xf>
    <xf numFmtId="0" fontId="12" fillId="2" borderId="18" xfId="0" applyFont="1" applyFill="1" applyBorder="1" applyAlignment="1">
      <alignment vertical="top" wrapText="1"/>
    </xf>
    <xf numFmtId="0" fontId="12" fillId="2" borderId="2" xfId="0" applyFont="1" applyFill="1" applyBorder="1"/>
    <xf numFmtId="165" fontId="12" fillId="6" borderId="0" xfId="0" applyNumberFormat="1" applyFont="1" applyFill="1" applyBorder="1"/>
    <xf numFmtId="165" fontId="12" fillId="6" borderId="18" xfId="0" applyNumberFormat="1" applyFont="1" applyFill="1" applyBorder="1"/>
    <xf numFmtId="166" fontId="12" fillId="6" borderId="0" xfId="0" applyNumberFormat="1" applyFont="1" applyFill="1" applyBorder="1"/>
    <xf numFmtId="166" fontId="12" fillId="6" borderId="18" xfId="0" applyNumberFormat="1" applyFont="1" applyFill="1" applyBorder="1"/>
    <xf numFmtId="0" fontId="18" fillId="5" borderId="7" xfId="0" applyFont="1" applyFill="1" applyBorder="1" applyAlignment="1">
      <alignment horizontal="left"/>
    </xf>
    <xf numFmtId="0" fontId="18" fillId="5" borderId="3" xfId="0" applyFont="1" applyFill="1" applyBorder="1" applyAlignment="1">
      <alignment horizontal="left"/>
    </xf>
    <xf numFmtId="0" fontId="19" fillId="5" borderId="1" xfId="0" applyFont="1" applyFill="1" applyBorder="1" applyAlignment="1">
      <alignment horizontal="left"/>
    </xf>
    <xf numFmtId="0" fontId="19" fillId="5" borderId="4" xfId="0" applyFont="1" applyFill="1" applyBorder="1" applyAlignment="1">
      <alignment horizontal="left"/>
    </xf>
    <xf numFmtId="0" fontId="12" fillId="2" borderId="4" xfId="0" applyFont="1" applyFill="1" applyBorder="1" applyAlignment="1"/>
    <xf numFmtId="0" fontId="12" fillId="2" borderId="2" xfId="0" applyFont="1" applyFill="1" applyBorder="1" applyAlignment="1"/>
    <xf numFmtId="3" fontId="12" fillId="2" borderId="0" xfId="0" applyNumberFormat="1" applyFont="1" applyFill="1" applyBorder="1" applyAlignment="1"/>
    <xf numFmtId="3" fontId="12" fillId="6" borderId="0" xfId="0" applyNumberFormat="1" applyFont="1" applyFill="1" applyBorder="1" applyAlignment="1"/>
    <xf numFmtId="3" fontId="12" fillId="6" borderId="18" xfId="0" applyNumberFormat="1" applyFont="1" applyFill="1" applyBorder="1" applyAlignment="1"/>
    <xf numFmtId="9" fontId="12" fillId="2" borderId="0" xfId="0" applyNumberFormat="1" applyFont="1" applyFill="1" applyBorder="1" applyAlignment="1"/>
    <xf numFmtId="9" fontId="12" fillId="6" borderId="0" xfId="0" applyNumberFormat="1" applyFont="1" applyFill="1" applyBorder="1" applyAlignment="1"/>
    <xf numFmtId="9" fontId="12" fillId="6" borderId="18" xfId="0" applyNumberFormat="1" applyFont="1" applyFill="1" applyBorder="1" applyAlignment="1"/>
    <xf numFmtId="4" fontId="12" fillId="6" borderId="0" xfId="0" applyNumberFormat="1" applyFont="1" applyFill="1" applyBorder="1" applyAlignment="1"/>
    <xf numFmtId="4" fontId="12" fillId="6" borderId="18" xfId="0" applyNumberFormat="1" applyFont="1" applyFill="1" applyBorder="1" applyAlignment="1"/>
    <xf numFmtId="0" fontId="11" fillId="13" borderId="1" xfId="0" applyFont="1" applyFill="1" applyBorder="1" applyAlignment="1">
      <alignment horizontal="left"/>
    </xf>
    <xf numFmtId="0" fontId="11" fillId="13" borderId="4" xfId="0" applyFont="1" applyFill="1" applyBorder="1" applyAlignment="1">
      <alignment horizontal="left"/>
    </xf>
    <xf numFmtId="0" fontId="14" fillId="13" borderId="4" xfId="0" applyFont="1" applyFill="1" applyBorder="1" applyAlignment="1">
      <alignment horizontal="right"/>
    </xf>
    <xf numFmtId="0" fontId="14" fillId="13" borderId="2" xfId="0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165" fontId="16" fillId="2" borderId="5" xfId="0" applyNumberFormat="1" applyFont="1" applyFill="1" applyBorder="1"/>
    <xf numFmtId="165" fontId="21" fillId="2" borderId="0" xfId="0" applyNumberFormat="1" applyFont="1" applyFill="1" applyBorder="1"/>
    <xf numFmtId="165" fontId="21" fillId="2" borderId="0" xfId="0" applyNumberFormat="1" applyFont="1" applyFill="1" applyBorder="1" applyAlignment="1">
      <alignment horizontal="center"/>
    </xf>
    <xf numFmtId="165" fontId="15" fillId="2" borderId="0" xfId="0" applyNumberFormat="1" applyFont="1" applyFill="1" applyBorder="1"/>
    <xf numFmtId="165" fontId="16" fillId="4" borderId="5" xfId="0" applyNumberFormat="1" applyFont="1" applyFill="1" applyBorder="1"/>
    <xf numFmtId="165" fontId="16" fillId="0" borderId="5" xfId="0" applyNumberFormat="1" applyFont="1" applyBorder="1"/>
    <xf numFmtId="165" fontId="21" fillId="4" borderId="0" xfId="0" applyNumberFormat="1" applyFont="1" applyFill="1" applyBorder="1" applyAlignment="1">
      <alignment horizontal="center"/>
    </xf>
    <xf numFmtId="4" fontId="12" fillId="2" borderId="0" xfId="0" applyNumberFormat="1" applyFont="1" applyFill="1" applyAlignment="1">
      <alignment horizontal="right" vertical="center"/>
    </xf>
    <xf numFmtId="4" fontId="12" fillId="10" borderId="0" xfId="0" applyNumberFormat="1" applyFont="1" applyFill="1" applyBorder="1"/>
    <xf numFmtId="10" fontId="13" fillId="10" borderId="4" xfId="1" applyNumberFormat="1" applyFont="1" applyFill="1" applyBorder="1"/>
    <xf numFmtId="4" fontId="12" fillId="10" borderId="4" xfId="0" applyNumberFormat="1" applyFont="1" applyFill="1" applyBorder="1"/>
    <xf numFmtId="4" fontId="12" fillId="10" borderId="2" xfId="0" applyNumberFormat="1" applyFont="1" applyFill="1" applyBorder="1"/>
    <xf numFmtId="4" fontId="12" fillId="8" borderId="22" xfId="0" applyNumberFormat="1" applyFont="1" applyFill="1" applyBorder="1"/>
    <xf numFmtId="10" fontId="13" fillId="2" borderId="2" xfId="1" applyNumberFormat="1" applyFont="1" applyFill="1" applyBorder="1"/>
    <xf numFmtId="4" fontId="12" fillId="10" borderId="18" xfId="0" applyNumberFormat="1" applyFont="1" applyFill="1" applyBorder="1"/>
    <xf numFmtId="4" fontId="13" fillId="8" borderId="3" xfId="0" applyNumberFormat="1" applyFont="1" applyFill="1" applyBorder="1"/>
    <xf numFmtId="9" fontId="12" fillId="2" borderId="0" xfId="1" applyFont="1" applyFill="1" applyAlignment="1">
      <alignment horizontal="left"/>
    </xf>
    <xf numFmtId="4" fontId="14" fillId="9" borderId="20" xfId="0" applyNumberFormat="1" applyFont="1" applyFill="1" applyBorder="1"/>
    <xf numFmtId="9" fontId="12" fillId="2" borderId="18" xfId="1" applyFont="1" applyFill="1" applyBorder="1" applyAlignment="1">
      <alignment horizontal="center"/>
    </xf>
    <xf numFmtId="4" fontId="12" fillId="2" borderId="18" xfId="0" applyNumberFormat="1" applyFont="1" applyFill="1" applyBorder="1" applyAlignment="1">
      <alignment horizontal="center"/>
    </xf>
    <xf numFmtId="4" fontId="12" fillId="2" borderId="20" xfId="0" applyNumberFormat="1" applyFont="1" applyFill="1" applyBorder="1" applyAlignment="1">
      <alignment horizontal="center"/>
    </xf>
    <xf numFmtId="9" fontId="12" fillId="2" borderId="17" xfId="1" applyFont="1" applyFill="1" applyBorder="1" applyAlignment="1">
      <alignment horizontal="center"/>
    </xf>
    <xf numFmtId="9" fontId="12" fillId="2" borderId="19" xfId="1" applyFont="1" applyFill="1" applyBorder="1" applyAlignment="1">
      <alignment horizontal="center"/>
    </xf>
    <xf numFmtId="3" fontId="13" fillId="10" borderId="4" xfId="0" applyNumberFormat="1" applyFont="1" applyFill="1" applyBorder="1"/>
    <xf numFmtId="4" fontId="12" fillId="10" borderId="2" xfId="0" applyNumberFormat="1" applyFont="1" applyFill="1" applyBorder="1" applyAlignment="1">
      <alignment horizontal="center"/>
    </xf>
    <xf numFmtId="9" fontId="12" fillId="2" borderId="0" xfId="0" applyNumberFormat="1" applyFont="1" applyFill="1"/>
    <xf numFmtId="0" fontId="12" fillId="2" borderId="8" xfId="0" applyFont="1" applyFill="1" applyBorder="1"/>
    <xf numFmtId="0" fontId="12" fillId="2" borderId="0" xfId="0" applyFont="1" applyFill="1" applyAlignment="1">
      <alignment horizontal="right"/>
    </xf>
    <xf numFmtId="3" fontId="16" fillId="2" borderId="0" xfId="0" applyNumberFormat="1" applyFont="1" applyFill="1"/>
    <xf numFmtId="3" fontId="15" fillId="2" borderId="3" xfId="0" applyNumberFormat="1" applyFont="1" applyFill="1" applyBorder="1" applyAlignment="1">
      <alignment horizontal="center"/>
    </xf>
    <xf numFmtId="9" fontId="16" fillId="2" borderId="0" xfId="1" applyFont="1" applyFill="1"/>
    <xf numFmtId="9" fontId="16" fillId="2" borderId="0" xfId="1" applyFont="1" applyFill="1" applyAlignment="1">
      <alignment horizontal="left"/>
    </xf>
    <xf numFmtId="3" fontId="16" fillId="2" borderId="0" xfId="0" applyNumberFormat="1" applyFont="1" applyFill="1" applyAlignment="1">
      <alignment horizontal="left"/>
    </xf>
    <xf numFmtId="3" fontId="12" fillId="2" borderId="5" xfId="0" applyNumberFormat="1" applyFont="1" applyFill="1" applyBorder="1"/>
    <xf numFmtId="165" fontId="12" fillId="2" borderId="0" xfId="0" applyNumberFormat="1" applyFont="1" applyFill="1" applyAlignment="1">
      <alignment horizontal="center"/>
    </xf>
    <xf numFmtId="165" fontId="12" fillId="2" borderId="0" xfId="0" quotePrefix="1" applyNumberFormat="1" applyFont="1" applyFill="1" applyAlignment="1">
      <alignment horizontal="center"/>
    </xf>
    <xf numFmtId="0" fontId="12" fillId="2" borderId="6" xfId="0" applyFont="1" applyFill="1" applyBorder="1"/>
    <xf numFmtId="9" fontId="12" fillId="2" borderId="0" xfId="0" applyNumberFormat="1" applyFont="1" applyFill="1" applyBorder="1"/>
    <xf numFmtId="0" fontId="12" fillId="2" borderId="7" xfId="0" applyFont="1" applyFill="1" applyBorder="1"/>
    <xf numFmtId="9" fontId="12" fillId="2" borderId="3" xfId="0" applyNumberFormat="1" applyFont="1" applyFill="1" applyBorder="1"/>
    <xf numFmtId="0" fontId="12" fillId="2" borderId="21" xfId="0" applyFont="1" applyFill="1" applyBorder="1"/>
    <xf numFmtId="0" fontId="15" fillId="8" borderId="1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15" fillId="9" borderId="22" xfId="0" applyFont="1" applyFill="1" applyBorder="1"/>
    <xf numFmtId="0" fontId="15" fillId="8" borderId="4" xfId="0" applyFont="1" applyFill="1" applyBorder="1" applyAlignment="1">
      <alignment horizontal="right"/>
    </xf>
    <xf numFmtId="0" fontId="15" fillId="8" borderId="2" xfId="0" applyFont="1" applyFill="1" applyBorder="1" applyAlignment="1">
      <alignment horizontal="right"/>
    </xf>
    <xf numFmtId="0" fontId="12" fillId="2" borderId="18" xfId="0" applyFont="1" applyFill="1" applyBorder="1"/>
    <xf numFmtId="0" fontId="12" fillId="2" borderId="3" xfId="0" applyFont="1" applyFill="1" applyBorder="1"/>
    <xf numFmtId="0" fontId="12" fillId="2" borderId="19" xfId="0" applyFont="1" applyFill="1" applyBorder="1"/>
    <xf numFmtId="0" fontId="15" fillId="10" borderId="7" xfId="0" applyFont="1" applyFill="1" applyBorder="1"/>
    <xf numFmtId="0" fontId="15" fillId="10" borderId="3" xfId="0" applyFont="1" applyFill="1" applyBorder="1" applyAlignment="1">
      <alignment horizontal="center"/>
    </xf>
    <xf numFmtId="165" fontId="15" fillId="10" borderId="3" xfId="0" applyNumberFormat="1" applyFont="1" applyFill="1" applyBorder="1" applyAlignment="1">
      <alignment horizontal="center"/>
    </xf>
    <xf numFmtId="0" fontId="12" fillId="8" borderId="16" xfId="0" applyFont="1" applyFill="1" applyBorder="1"/>
    <xf numFmtId="0" fontId="12" fillId="8" borderId="20" xfId="0" applyFont="1" applyFill="1" applyBorder="1" applyAlignment="1">
      <alignment horizontal="center"/>
    </xf>
    <xf numFmtId="165" fontId="12" fillId="8" borderId="20" xfId="0" applyNumberFormat="1" applyFont="1" applyFill="1" applyBorder="1" applyAlignment="1">
      <alignment horizontal="center"/>
    </xf>
    <xf numFmtId="165" fontId="12" fillId="8" borderId="20" xfId="0" quotePrefix="1" applyNumberFormat="1" applyFont="1" applyFill="1" applyBorder="1" applyAlignment="1">
      <alignment horizontal="center"/>
    </xf>
    <xf numFmtId="165" fontId="12" fillId="8" borderId="17" xfId="0" applyNumberFormat="1" applyFont="1" applyFill="1" applyBorder="1" applyAlignment="1">
      <alignment horizontal="center"/>
    </xf>
    <xf numFmtId="0" fontId="12" fillId="8" borderId="6" xfId="0" applyFont="1" applyFill="1" applyBorder="1"/>
    <xf numFmtId="0" fontId="12" fillId="8" borderId="0" xfId="0" applyFont="1" applyFill="1" applyBorder="1" applyAlignment="1">
      <alignment horizontal="center"/>
    </xf>
    <xf numFmtId="165" fontId="12" fillId="8" borderId="0" xfId="0" applyNumberFormat="1" applyFont="1" applyFill="1" applyBorder="1" applyAlignment="1">
      <alignment horizontal="center"/>
    </xf>
    <xf numFmtId="0" fontId="12" fillId="8" borderId="0" xfId="0" applyFont="1" applyFill="1" applyBorder="1"/>
    <xf numFmtId="0" fontId="12" fillId="8" borderId="18" xfId="0" applyFont="1" applyFill="1" applyBorder="1"/>
    <xf numFmtId="0" fontId="12" fillId="8" borderId="7" xfId="0" applyFont="1" applyFill="1" applyBorder="1"/>
    <xf numFmtId="0" fontId="12" fillId="8" borderId="3" xfId="0" applyFont="1" applyFill="1" applyBorder="1" applyAlignment="1">
      <alignment horizontal="center"/>
    </xf>
    <xf numFmtId="165" fontId="12" fillId="8" borderId="3" xfId="0" applyNumberFormat="1" applyFont="1" applyFill="1" applyBorder="1" applyAlignment="1">
      <alignment horizontal="center"/>
    </xf>
    <xf numFmtId="0" fontId="12" fillId="8" borderId="3" xfId="0" applyFont="1" applyFill="1" applyBorder="1"/>
    <xf numFmtId="0" fontId="12" fillId="8" borderId="19" xfId="0" applyFont="1" applyFill="1" applyBorder="1"/>
    <xf numFmtId="0" fontId="12" fillId="10" borderId="3" xfId="0" applyFont="1" applyFill="1" applyBorder="1"/>
    <xf numFmtId="0" fontId="12" fillId="10" borderId="19" xfId="0" applyFont="1" applyFill="1" applyBorder="1"/>
    <xf numFmtId="3" fontId="15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165" fontId="12" fillId="2" borderId="0" xfId="0" applyNumberFormat="1" applyFont="1" applyFill="1" applyAlignment="1">
      <alignment vertical="justify"/>
    </xf>
    <xf numFmtId="3" fontId="12" fillId="2" borderId="0" xfId="0" quotePrefix="1" applyNumberFormat="1" applyFont="1" applyFill="1" applyAlignment="1">
      <alignment horizontal="center"/>
    </xf>
    <xf numFmtId="9" fontId="12" fillId="2" borderId="0" xfId="1" applyFont="1" applyFill="1" applyBorder="1" applyAlignment="1">
      <alignment horizontal="center"/>
    </xf>
    <xf numFmtId="165" fontId="16" fillId="2" borderId="0" xfId="0" applyNumberFormat="1" applyFont="1" applyFill="1" applyBorder="1"/>
    <xf numFmtId="3" fontId="15" fillId="8" borderId="3" xfId="0" applyNumberFormat="1" applyFont="1" applyFill="1" applyBorder="1" applyAlignment="1">
      <alignment horizontal="center"/>
    </xf>
    <xf numFmtId="3" fontId="12" fillId="8" borderId="5" xfId="0" applyNumberFormat="1" applyFont="1" applyFill="1" applyBorder="1"/>
    <xf numFmtId="3" fontId="12" fillId="8" borderId="6" xfId="0" applyNumberFormat="1" applyFont="1" applyFill="1" applyBorder="1"/>
    <xf numFmtId="3" fontId="12" fillId="8" borderId="0" xfId="0" applyNumberFormat="1" applyFont="1" applyFill="1" applyBorder="1"/>
    <xf numFmtId="3" fontId="15" fillId="8" borderId="0" xfId="0" applyNumberFormat="1" applyFont="1" applyFill="1" applyBorder="1" applyAlignment="1">
      <alignment horizontal="center"/>
    </xf>
    <xf numFmtId="3" fontId="15" fillId="8" borderId="18" xfId="0" applyNumberFormat="1" applyFont="1" applyFill="1" applyBorder="1" applyAlignment="1">
      <alignment horizontal="center"/>
    </xf>
    <xf numFmtId="3" fontId="12" fillId="8" borderId="18" xfId="0" applyNumberFormat="1" applyFont="1" applyFill="1" applyBorder="1"/>
    <xf numFmtId="9" fontId="12" fillId="8" borderId="0" xfId="1" applyFont="1" applyFill="1" applyBorder="1" applyAlignment="1">
      <alignment horizontal="left"/>
    </xf>
    <xf numFmtId="9" fontId="12" fillId="8" borderId="0" xfId="1" applyFont="1" applyFill="1" applyBorder="1"/>
    <xf numFmtId="3" fontId="12" fillId="8" borderId="0" xfId="0" applyNumberFormat="1" applyFont="1" applyFill="1" applyBorder="1" applyAlignment="1">
      <alignment horizontal="center"/>
    </xf>
    <xf numFmtId="3" fontId="12" fillId="8" borderId="0" xfId="0" applyNumberFormat="1" applyFont="1" applyFill="1" applyBorder="1" applyAlignment="1">
      <alignment horizontal="left"/>
    </xf>
    <xf numFmtId="3" fontId="12" fillId="8" borderId="7" xfId="0" applyNumberFormat="1" applyFont="1" applyFill="1" applyBorder="1"/>
    <xf numFmtId="3" fontId="12" fillId="8" borderId="3" xfId="0" applyNumberFormat="1" applyFont="1" applyFill="1" applyBorder="1"/>
    <xf numFmtId="3" fontId="12" fillId="8" borderId="19" xfId="0" applyNumberFormat="1" applyFont="1" applyFill="1" applyBorder="1"/>
    <xf numFmtId="3" fontId="11" fillId="9" borderId="5" xfId="0" applyNumberFormat="1" applyFont="1" applyFill="1" applyBorder="1"/>
    <xf numFmtId="3" fontId="12" fillId="8" borderId="20" xfId="0" applyNumberFormat="1" applyFont="1" applyFill="1" applyBorder="1"/>
    <xf numFmtId="3" fontId="12" fillId="8" borderId="17" xfId="0" applyNumberFormat="1" applyFont="1" applyFill="1" applyBorder="1"/>
    <xf numFmtId="3" fontId="13" fillId="8" borderId="19" xfId="0" applyNumberFormat="1" applyFont="1" applyFill="1" applyBorder="1" applyAlignment="1">
      <alignment horizontal="center"/>
    </xf>
    <xf numFmtId="3" fontId="12" fillId="8" borderId="0" xfId="0" applyNumberFormat="1" applyFont="1" applyFill="1" applyBorder="1" applyAlignment="1">
      <alignment vertical="center"/>
    </xf>
    <xf numFmtId="3" fontId="13" fillId="8" borderId="18" xfId="0" applyNumberFormat="1" applyFont="1" applyFill="1" applyBorder="1"/>
    <xf numFmtId="165" fontId="12" fillId="8" borderId="0" xfId="0" applyNumberFormat="1" applyFont="1" applyFill="1" applyBorder="1"/>
    <xf numFmtId="3" fontId="12" fillId="8" borderId="3" xfId="0" applyNumberFormat="1" applyFont="1" applyFill="1" applyBorder="1" applyAlignment="1">
      <alignment horizontal="left"/>
    </xf>
    <xf numFmtId="9" fontId="12" fillId="8" borderId="0" xfId="1" applyFont="1" applyFill="1" applyBorder="1" applyAlignment="1">
      <alignment horizontal="center"/>
    </xf>
    <xf numFmtId="165" fontId="12" fillId="8" borderId="6" xfId="0" applyNumberFormat="1" applyFont="1" applyFill="1" applyBorder="1"/>
    <xf numFmtId="165" fontId="12" fillId="8" borderId="0" xfId="0" applyNumberFormat="1" applyFont="1" applyFill="1" applyBorder="1" applyAlignment="1">
      <alignment horizontal="center" vertical="center"/>
    </xf>
    <xf numFmtId="165" fontId="12" fillId="8" borderId="6" xfId="0" applyNumberFormat="1" applyFont="1" applyFill="1" applyBorder="1" applyAlignment="1">
      <alignment horizontal="center" vertical="justify"/>
    </xf>
    <xf numFmtId="165" fontId="12" fillId="8" borderId="6" xfId="0" applyNumberFormat="1" applyFont="1" applyFill="1" applyBorder="1" applyAlignment="1">
      <alignment horizontal="center"/>
    </xf>
    <xf numFmtId="165" fontId="13" fillId="8" borderId="0" xfId="0" applyNumberFormat="1" applyFont="1" applyFill="1" applyBorder="1"/>
    <xf numFmtId="165" fontId="12" fillId="8" borderId="0" xfId="0" applyNumberFormat="1" applyFont="1" applyFill="1" applyBorder="1" applyAlignment="1">
      <alignment vertical="center"/>
    </xf>
    <xf numFmtId="165" fontId="12" fillId="8" borderId="7" xfId="0" applyNumberFormat="1" applyFont="1" applyFill="1" applyBorder="1" applyAlignment="1">
      <alignment horizontal="center"/>
    </xf>
    <xf numFmtId="165" fontId="13" fillId="8" borderId="3" xfId="0" applyNumberFormat="1" applyFont="1" applyFill="1" applyBorder="1"/>
    <xf numFmtId="165" fontId="12" fillId="10" borderId="1" xfId="0" applyNumberFormat="1" applyFont="1" applyFill="1" applyBorder="1"/>
    <xf numFmtId="165" fontId="12" fillId="10" borderId="4" xfId="0" applyNumberFormat="1" applyFont="1" applyFill="1" applyBorder="1"/>
    <xf numFmtId="3" fontId="12" fillId="2" borderId="0" xfId="0" applyNumberFormat="1" applyFont="1" applyFill="1" applyBorder="1" applyAlignment="1">
      <alignment horizontal="center"/>
    </xf>
    <xf numFmtId="3" fontId="12" fillId="8" borderId="0" xfId="0" quotePrefix="1" applyNumberFormat="1" applyFont="1" applyFill="1" applyBorder="1" applyAlignment="1">
      <alignment horizontal="center"/>
    </xf>
    <xf numFmtId="3" fontId="12" fillId="8" borderId="3" xfId="0" applyNumberFormat="1" applyFont="1" applyFill="1" applyBorder="1" applyAlignment="1">
      <alignment horizontal="center"/>
    </xf>
    <xf numFmtId="3" fontId="12" fillId="8" borderId="6" xfId="0" applyNumberFormat="1" applyFont="1" applyFill="1" applyBorder="1" applyAlignment="1">
      <alignment horizontal="center"/>
    </xf>
    <xf numFmtId="3" fontId="12" fillId="10" borderId="1" xfId="0" applyNumberFormat="1" applyFont="1" applyFill="1" applyBorder="1"/>
    <xf numFmtId="3" fontId="13" fillId="10" borderId="4" xfId="0" applyNumberFormat="1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vertical="justify"/>
    </xf>
    <xf numFmtId="165" fontId="16" fillId="2" borderId="0" xfId="0" quotePrefix="1" applyNumberFormat="1" applyFont="1" applyFill="1" applyBorder="1"/>
    <xf numFmtId="165" fontId="16" fillId="2" borderId="0" xfId="0" applyNumberFormat="1" applyFont="1" applyFill="1" applyBorder="1" applyAlignment="1">
      <alignment horizontal="left"/>
    </xf>
    <xf numFmtId="165" fontId="12" fillId="2" borderId="0" xfId="0" applyNumberFormat="1" applyFont="1" applyFill="1" applyBorder="1" applyAlignment="1">
      <alignment vertical="justify"/>
    </xf>
    <xf numFmtId="165" fontId="12" fillId="2" borderId="20" xfId="0" applyNumberFormat="1" applyFont="1" applyFill="1" applyBorder="1"/>
    <xf numFmtId="165" fontId="15" fillId="8" borderId="4" xfId="0" applyNumberFormat="1" applyFont="1" applyFill="1" applyBorder="1" applyAlignment="1">
      <alignment horizontal="center"/>
    </xf>
    <xf numFmtId="165" fontId="12" fillId="8" borderId="20" xfId="0" applyNumberFormat="1" applyFont="1" applyFill="1" applyBorder="1"/>
    <xf numFmtId="165" fontId="15" fillId="8" borderId="2" xfId="0" applyNumberFormat="1" applyFont="1" applyFill="1" applyBorder="1"/>
    <xf numFmtId="165" fontId="16" fillId="8" borderId="0" xfId="0" applyNumberFormat="1" applyFont="1" applyFill="1" applyBorder="1"/>
    <xf numFmtId="165" fontId="12" fillId="8" borderId="18" xfId="0" applyNumberFormat="1" applyFont="1" applyFill="1" applyBorder="1"/>
    <xf numFmtId="165" fontId="15" fillId="8" borderId="0" xfId="0" applyNumberFormat="1" applyFont="1" applyFill="1" applyBorder="1"/>
    <xf numFmtId="165" fontId="16" fillId="8" borderId="18" xfId="0" applyNumberFormat="1" applyFont="1" applyFill="1" applyBorder="1"/>
    <xf numFmtId="165" fontId="15" fillId="8" borderId="9" xfId="0" applyNumberFormat="1" applyFont="1" applyFill="1" applyBorder="1"/>
    <xf numFmtId="9" fontId="16" fillId="8" borderId="0" xfId="1" applyFont="1" applyFill="1" applyBorder="1"/>
    <xf numFmtId="165" fontId="16" fillId="8" borderId="9" xfId="0" applyNumberFormat="1" applyFont="1" applyFill="1" applyBorder="1"/>
    <xf numFmtId="165" fontId="15" fillId="8" borderId="18" xfId="0" applyNumberFormat="1" applyFont="1" applyFill="1" applyBorder="1"/>
    <xf numFmtId="165" fontId="12" fillId="8" borderId="7" xfId="0" applyNumberFormat="1" applyFont="1" applyFill="1" applyBorder="1"/>
    <xf numFmtId="165" fontId="15" fillId="8" borderId="3" xfId="0" applyNumberFormat="1" applyFont="1" applyFill="1" applyBorder="1"/>
    <xf numFmtId="165" fontId="16" fillId="8" borderId="3" xfId="0" applyNumberFormat="1" applyFont="1" applyFill="1" applyBorder="1"/>
    <xf numFmtId="165" fontId="15" fillId="8" borderId="3" xfId="0" applyNumberFormat="1" applyFont="1" applyFill="1" applyBorder="1" applyAlignment="1">
      <alignment horizontal="center"/>
    </xf>
    <xf numFmtId="165" fontId="13" fillId="8" borderId="9" xfId="0" applyNumberFormat="1" applyFont="1" applyFill="1" applyBorder="1"/>
    <xf numFmtId="165" fontId="12" fillId="8" borderId="9" xfId="0" applyNumberFormat="1" applyFont="1" applyFill="1" applyBorder="1"/>
    <xf numFmtId="165" fontId="12" fillId="2" borderId="17" xfId="0" applyNumberFormat="1" applyFont="1" applyFill="1" applyBorder="1"/>
    <xf numFmtId="165" fontId="12" fillId="8" borderId="17" xfId="0" applyNumberFormat="1" applyFont="1" applyFill="1" applyBorder="1"/>
    <xf numFmtId="165" fontId="12" fillId="8" borderId="6" xfId="0" applyNumberFormat="1" applyFont="1" applyFill="1" applyBorder="1" applyAlignment="1">
      <alignment vertical="justify"/>
    </xf>
    <xf numFmtId="165" fontId="13" fillId="8" borderId="18" xfId="0" applyNumberFormat="1" applyFont="1" applyFill="1" applyBorder="1"/>
    <xf numFmtId="165" fontId="12" fillId="8" borderId="7" xfId="0" applyNumberFormat="1" applyFont="1" applyFill="1" applyBorder="1" applyAlignment="1">
      <alignment vertical="justify"/>
    </xf>
    <xf numFmtId="165" fontId="12" fillId="8" borderId="15" xfId="0" quotePrefix="1" applyNumberFormat="1" applyFont="1" applyFill="1" applyBorder="1"/>
    <xf numFmtId="165" fontId="12" fillId="8" borderId="15" xfId="0" applyNumberFormat="1" applyFont="1" applyFill="1" applyBorder="1" applyAlignment="1">
      <alignment horizontal="center"/>
    </xf>
    <xf numFmtId="165" fontId="12" fillId="8" borderId="15" xfId="0" applyNumberFormat="1" applyFont="1" applyFill="1" applyBorder="1"/>
    <xf numFmtId="165" fontId="13" fillId="8" borderId="4" xfId="0" applyNumberFormat="1" applyFont="1" applyFill="1" applyBorder="1" applyAlignment="1">
      <alignment horizontal="center"/>
    </xf>
    <xf numFmtId="165" fontId="13" fillId="8" borderId="2" xfId="0" applyNumberFormat="1" applyFont="1" applyFill="1" applyBorder="1"/>
    <xf numFmtId="4" fontId="15" fillId="2" borderId="0" xfId="0" applyNumberFormat="1" applyFont="1" applyFill="1" applyAlignment="1">
      <alignment horizontal="right"/>
    </xf>
    <xf numFmtId="4" fontId="12" fillId="2" borderId="0" xfId="0" quotePrefix="1" applyNumberFormat="1" applyFont="1" applyFill="1" applyBorder="1"/>
    <xf numFmtId="4" fontId="12" fillId="2" borderId="0" xfId="0" quotePrefix="1" applyNumberFormat="1" applyFont="1" applyFill="1" applyBorder="1" applyAlignment="1">
      <alignment horizontal="center"/>
    </xf>
    <xf numFmtId="4" fontId="22" fillId="2" borderId="0" xfId="0" applyNumberFormat="1" applyFont="1" applyFill="1"/>
    <xf numFmtId="9" fontId="16" fillId="2" borderId="2" xfId="1" applyFont="1" applyFill="1" applyBorder="1" applyAlignment="1">
      <alignment horizontal="right"/>
    </xf>
    <xf numFmtId="4" fontId="12" fillId="2" borderId="6" xfId="0" applyNumberFormat="1" applyFont="1" applyFill="1" applyBorder="1" applyAlignment="1">
      <alignment horizontal="center"/>
    </xf>
    <xf numFmtId="4" fontId="12" fillId="8" borderId="20" xfId="0" applyNumberFormat="1" applyFont="1" applyFill="1" applyBorder="1"/>
    <xf numFmtId="4" fontId="12" fillId="8" borderId="17" xfId="0" applyNumberFormat="1" applyFont="1" applyFill="1" applyBorder="1"/>
    <xf numFmtId="4" fontId="13" fillId="8" borderId="7" xfId="0" applyNumberFormat="1" applyFont="1" applyFill="1" applyBorder="1" applyAlignment="1">
      <alignment horizontal="center"/>
    </xf>
    <xf numFmtId="4" fontId="13" fillId="8" borderId="3" xfId="0" applyNumberFormat="1" applyFont="1" applyFill="1" applyBorder="1" applyAlignment="1">
      <alignment horizontal="center"/>
    </xf>
    <xf numFmtId="4" fontId="13" fillId="8" borderId="19" xfId="0" applyNumberFormat="1" applyFont="1" applyFill="1" applyBorder="1" applyAlignment="1">
      <alignment horizontal="center"/>
    </xf>
    <xf numFmtId="4" fontId="12" fillId="8" borderId="0" xfId="0" quotePrefix="1" applyNumberFormat="1" applyFont="1" applyFill="1" applyBorder="1"/>
    <xf numFmtId="4" fontId="12" fillId="8" borderId="6" xfId="0" applyNumberFormat="1" applyFont="1" applyFill="1" applyBorder="1" applyAlignment="1">
      <alignment horizontal="center"/>
    </xf>
    <xf numFmtId="4" fontId="12" fillId="8" borderId="0" xfId="0" applyNumberFormat="1" applyFont="1" applyFill="1" applyBorder="1" applyAlignment="1">
      <alignment horizontal="center"/>
    </xf>
    <xf numFmtId="4" fontId="12" fillId="8" borderId="18" xfId="0" applyNumberFormat="1" applyFont="1" applyFill="1" applyBorder="1" applyAlignment="1">
      <alignment horizontal="center"/>
    </xf>
    <xf numFmtId="4" fontId="12" fillId="8" borderId="20" xfId="0" applyNumberFormat="1" applyFont="1" applyFill="1" applyBorder="1" applyAlignment="1">
      <alignment horizontal="center"/>
    </xf>
    <xf numFmtId="4" fontId="12" fillId="8" borderId="3" xfId="0" applyNumberFormat="1" applyFont="1" applyFill="1" applyBorder="1" applyAlignment="1">
      <alignment horizontal="center"/>
    </xf>
    <xf numFmtId="4" fontId="12" fillId="8" borderId="0" xfId="0" quotePrefix="1" applyNumberFormat="1" applyFont="1" applyFill="1" applyBorder="1" applyAlignment="1">
      <alignment horizontal="center"/>
    </xf>
    <xf numFmtId="4" fontId="12" fillId="8" borderId="3" xfId="0" quotePrefix="1" applyNumberFormat="1" applyFont="1" applyFill="1" applyBorder="1"/>
    <xf numFmtId="4" fontId="12" fillId="8" borderId="3" xfId="0" quotePrefix="1" applyNumberFormat="1" applyFont="1" applyFill="1" applyBorder="1" applyAlignment="1">
      <alignment horizontal="center"/>
    </xf>
    <xf numFmtId="4" fontId="12" fillId="10" borderId="0" xfId="0" applyNumberFormat="1" applyFont="1" applyFill="1" applyBorder="1" applyAlignment="1">
      <alignment horizontal="center"/>
    </xf>
    <xf numFmtId="4" fontId="12" fillId="10" borderId="3" xfId="0" applyNumberFormat="1" applyFont="1" applyFill="1" applyBorder="1" applyAlignment="1">
      <alignment horizontal="center"/>
    </xf>
    <xf numFmtId="4" fontId="13" fillId="10" borderId="18" xfId="0" applyNumberFormat="1" applyFont="1" applyFill="1" applyBorder="1"/>
    <xf numFmtId="4" fontId="12" fillId="10" borderId="0" xfId="0" quotePrefix="1" applyNumberFormat="1" applyFont="1" applyFill="1" applyBorder="1"/>
    <xf numFmtId="4" fontId="12" fillId="10" borderId="0" xfId="0" quotePrefix="1" applyNumberFormat="1" applyFont="1" applyFill="1" applyBorder="1" applyAlignment="1">
      <alignment horizontal="center"/>
    </xf>
    <xf numFmtId="4" fontId="11" fillId="9" borderId="5" xfId="0" applyNumberFormat="1" applyFont="1" applyFill="1" applyBorder="1" applyAlignment="1">
      <alignment horizontal="left"/>
    </xf>
    <xf numFmtId="4" fontId="12" fillId="8" borderId="19" xfId="0" applyNumberFormat="1" applyFont="1" applyFill="1" applyBorder="1" applyAlignment="1">
      <alignment horizontal="right"/>
    </xf>
    <xf numFmtId="4" fontId="16" fillId="8" borderId="7" xfId="0" applyNumberFormat="1" applyFont="1" applyFill="1" applyBorder="1" applyAlignment="1">
      <alignment horizontal="center"/>
    </xf>
    <xf numFmtId="9" fontId="12" fillId="8" borderId="19" xfId="1" applyFont="1" applyFill="1" applyBorder="1"/>
    <xf numFmtId="4" fontId="11" fillId="9" borderId="1" xfId="0" applyNumberFormat="1" applyFont="1" applyFill="1" applyBorder="1" applyAlignment="1">
      <alignment horizontal="center"/>
    </xf>
    <xf numFmtId="3" fontId="11" fillId="9" borderId="4" xfId="0" applyNumberFormat="1" applyFont="1" applyFill="1" applyBorder="1" applyAlignment="1">
      <alignment horizontal="center"/>
    </xf>
    <xf numFmtId="3" fontId="11" fillId="9" borderId="2" xfId="0" applyNumberFormat="1" applyFont="1" applyFill="1" applyBorder="1" applyAlignment="1">
      <alignment horizontal="center"/>
    </xf>
    <xf numFmtId="4" fontId="25" fillId="2" borderId="0" xfId="0" applyNumberFormat="1" applyFont="1" applyFill="1" applyBorder="1"/>
    <xf numFmtId="4" fontId="15" fillId="10" borderId="1" xfId="0" applyNumberFormat="1" applyFont="1" applyFill="1" applyBorder="1" applyAlignment="1">
      <alignment horizontal="right"/>
    </xf>
    <xf numFmtId="4" fontId="15" fillId="10" borderId="4" xfId="0" applyNumberFormat="1" applyFont="1" applyFill="1" applyBorder="1" applyAlignment="1">
      <alignment horizontal="right"/>
    </xf>
    <xf numFmtId="4" fontId="14" fillId="9" borderId="1" xfId="0" applyNumberFormat="1" applyFont="1" applyFill="1" applyBorder="1" applyAlignment="1">
      <alignment horizontal="left"/>
    </xf>
    <xf numFmtId="4" fontId="14" fillId="9" borderId="4" xfId="0" applyNumberFormat="1" applyFont="1" applyFill="1" applyBorder="1"/>
    <xf numFmtId="4" fontId="12" fillId="8" borderId="16" xfId="0" applyNumberFormat="1" applyFont="1" applyFill="1" applyBorder="1" applyAlignment="1">
      <alignment horizontal="left"/>
    </xf>
    <xf numFmtId="165" fontId="15" fillId="2" borderId="5" xfId="0" applyNumberFormat="1" applyFont="1" applyFill="1" applyBorder="1"/>
    <xf numFmtId="165" fontId="12" fillId="2" borderId="5" xfId="0" applyNumberFormat="1" applyFont="1" applyFill="1" applyBorder="1"/>
    <xf numFmtId="165" fontId="12" fillId="2" borderId="0" xfId="0" applyNumberFormat="1" applyFont="1" applyFill="1" applyAlignment="1">
      <alignment horizontal="right"/>
    </xf>
    <xf numFmtId="166" fontId="13" fillId="2" borderId="0" xfId="1" applyNumberFormat="1" applyFont="1" applyFill="1"/>
    <xf numFmtId="165" fontId="15" fillId="11" borderId="5" xfId="0" applyNumberFormat="1" applyFont="1" applyFill="1" applyBorder="1" applyAlignment="1">
      <alignment horizontal="center"/>
    </xf>
    <xf numFmtId="165" fontId="11" fillId="9" borderId="16" xfId="0" applyNumberFormat="1" applyFont="1" applyFill="1" applyBorder="1" applyAlignment="1">
      <alignment horizontal="center"/>
    </xf>
    <xf numFmtId="165" fontId="14" fillId="9" borderId="20" xfId="0" applyNumberFormat="1" applyFont="1" applyFill="1" applyBorder="1"/>
    <xf numFmtId="165" fontId="14" fillId="9" borderId="17" xfId="0" applyNumberFormat="1" applyFont="1" applyFill="1" applyBorder="1"/>
    <xf numFmtId="165" fontId="15" fillId="11" borderId="1" xfId="0" applyNumberFormat="1" applyFont="1" applyFill="1" applyBorder="1" applyAlignment="1">
      <alignment horizontal="center"/>
    </xf>
    <xf numFmtId="165" fontId="11" fillId="9" borderId="4" xfId="0" applyNumberFormat="1" applyFont="1" applyFill="1" applyBorder="1" applyAlignment="1">
      <alignment horizontal="center"/>
    </xf>
    <xf numFmtId="165" fontId="11" fillId="9" borderId="2" xfId="0" applyNumberFormat="1" applyFont="1" applyFill="1" applyBorder="1" applyAlignment="1">
      <alignment horizontal="center"/>
    </xf>
    <xf numFmtId="165" fontId="12" fillId="10" borderId="1" xfId="0" applyNumberFormat="1" applyFont="1" applyFill="1" applyBorder="1" applyAlignment="1">
      <alignment horizontal="center"/>
    </xf>
    <xf numFmtId="165" fontId="12" fillId="10" borderId="2" xfId="0" applyNumberFormat="1" applyFont="1" applyFill="1" applyBorder="1"/>
    <xf numFmtId="165" fontId="12" fillId="8" borderId="16" xfId="0" applyNumberFormat="1" applyFont="1" applyFill="1" applyBorder="1"/>
    <xf numFmtId="165" fontId="12" fillId="8" borderId="0" xfId="0" quotePrefix="1" applyNumberFormat="1" applyFont="1" applyFill="1" applyBorder="1" applyAlignment="1">
      <alignment horizontal="center"/>
    </xf>
    <xf numFmtId="165" fontId="12" fillId="8" borderId="3" xfId="0" quotePrefix="1" applyNumberFormat="1" applyFont="1" applyFill="1" applyBorder="1" applyAlignment="1">
      <alignment horizontal="center"/>
    </xf>
    <xf numFmtId="165" fontId="16" fillId="8" borderId="1" xfId="0" applyNumberFormat="1" applyFont="1" applyFill="1" applyBorder="1" applyAlignment="1">
      <alignment horizontal="center"/>
    </xf>
    <xf numFmtId="165" fontId="15" fillId="8" borderId="2" xfId="0" applyNumberFormat="1" applyFont="1" applyFill="1" applyBorder="1" applyAlignment="1">
      <alignment horizontal="center"/>
    </xf>
    <xf numFmtId="3" fontId="12" fillId="8" borderId="20" xfId="0" applyNumberFormat="1" applyFont="1" applyFill="1" applyBorder="1" applyAlignment="1">
      <alignment horizontal="center"/>
    </xf>
    <xf numFmtId="165" fontId="12" fillId="8" borderId="6" xfId="0" applyNumberFormat="1" applyFont="1" applyFill="1" applyBorder="1" applyAlignment="1">
      <alignment horizontal="right"/>
    </xf>
    <xf numFmtId="169" fontId="12" fillId="8" borderId="0" xfId="0" applyNumberFormat="1" applyFont="1" applyFill="1" applyBorder="1"/>
    <xf numFmtId="165" fontId="12" fillId="2" borderId="18" xfId="0" applyNumberFormat="1" applyFont="1" applyFill="1" applyBorder="1" applyAlignment="1">
      <alignment horizontal="center"/>
    </xf>
    <xf numFmtId="165" fontId="13" fillId="10" borderId="2" xfId="0" applyNumberFormat="1" applyFont="1" applyFill="1" applyBorder="1" applyAlignment="1">
      <alignment horizontal="center"/>
    </xf>
    <xf numFmtId="165" fontId="12" fillId="8" borderId="4" xfId="0" applyNumberFormat="1" applyFont="1" applyFill="1" applyBorder="1" applyAlignment="1">
      <alignment horizontal="center"/>
    </xf>
    <xf numFmtId="165" fontId="15" fillId="8" borderId="7" xfId="0" applyNumberFormat="1" applyFont="1" applyFill="1" applyBorder="1" applyAlignment="1">
      <alignment horizontal="center"/>
    </xf>
    <xf numFmtId="4" fontId="15" fillId="8" borderId="16" xfId="0" applyNumberFormat="1" applyFont="1" applyFill="1" applyBorder="1"/>
    <xf numFmtId="4" fontId="15" fillId="8" borderId="17" xfId="0" applyNumberFormat="1" applyFont="1" applyFill="1" applyBorder="1"/>
    <xf numFmtId="0" fontId="14" fillId="2" borderId="0" xfId="0" applyFont="1" applyFill="1"/>
    <xf numFmtId="4" fontId="12" fillId="2" borderId="18" xfId="0" applyNumberFormat="1" applyFont="1" applyFill="1" applyBorder="1" applyAlignment="1">
      <alignment horizontal="right"/>
    </xf>
    <xf numFmtId="4" fontId="13" fillId="10" borderId="2" xfId="0" applyNumberFormat="1" applyFont="1" applyFill="1" applyBorder="1" applyAlignment="1">
      <alignment horizontal="center"/>
    </xf>
    <xf numFmtId="164" fontId="12" fillId="8" borderId="3" xfId="0" applyNumberFormat="1" applyFont="1" applyFill="1" applyBorder="1"/>
    <xf numFmtId="4" fontId="12" fillId="8" borderId="19" xfId="0" applyNumberFormat="1" applyFont="1" applyFill="1" applyBorder="1" applyAlignment="1">
      <alignment horizontal="center"/>
    </xf>
    <xf numFmtId="0" fontId="12" fillId="8" borderId="18" xfId="0" quotePrefix="1" applyFont="1" applyFill="1" applyBorder="1" applyAlignment="1">
      <alignment horizontal="center"/>
    </xf>
    <xf numFmtId="164" fontId="12" fillId="8" borderId="3" xfId="0" applyNumberFormat="1" applyFont="1" applyFill="1" applyBorder="1" applyAlignment="1">
      <alignment horizontal="center"/>
    </xf>
    <xf numFmtId="4" fontId="15" fillId="8" borderId="7" xfId="0" applyNumberFormat="1" applyFont="1" applyFill="1" applyBorder="1"/>
    <xf numFmtId="4" fontId="15" fillId="8" borderId="3" xfId="0" applyNumberFormat="1" applyFont="1" applyFill="1" applyBorder="1"/>
    <xf numFmtId="4" fontId="14" fillId="9" borderId="17" xfId="0" applyNumberFormat="1" applyFont="1" applyFill="1" applyBorder="1"/>
    <xf numFmtId="4" fontId="14" fillId="9" borderId="4" xfId="0" applyNumberFormat="1" applyFont="1" applyFill="1" applyBorder="1" applyAlignment="1">
      <alignment horizontal="center"/>
    </xf>
    <xf numFmtId="4" fontId="14" fillId="9" borderId="2" xfId="0" applyNumberFormat="1" applyFont="1" applyFill="1" applyBorder="1"/>
    <xf numFmtId="4" fontId="13" fillId="8" borderId="22" xfId="0" applyNumberFormat="1" applyFont="1" applyFill="1" applyBorder="1"/>
    <xf numFmtId="167" fontId="12" fillId="2" borderId="0" xfId="0" applyNumberFormat="1" applyFont="1" applyFill="1" applyBorder="1"/>
    <xf numFmtId="0" fontId="16" fillId="2" borderId="5" xfId="0" applyFont="1" applyFill="1" applyBorder="1" applyAlignment="1">
      <alignment horizontal="center" vertical="top" wrapText="1"/>
    </xf>
    <xf numFmtId="2" fontId="16" fillId="2" borderId="5" xfId="0" applyNumberFormat="1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right" vertical="top" wrapText="1"/>
    </xf>
    <xf numFmtId="0" fontId="16" fillId="2" borderId="0" xfId="0" applyFont="1" applyFill="1" applyAlignment="1">
      <alignment horizontal="justify"/>
    </xf>
    <xf numFmtId="0" fontId="16" fillId="2" borderId="0" xfId="0" applyFont="1" applyFill="1" applyAlignment="1">
      <alignment horizontal="right"/>
    </xf>
    <xf numFmtId="168" fontId="12" fillId="2" borderId="0" xfId="0" applyNumberFormat="1" applyFont="1" applyFill="1"/>
    <xf numFmtId="9" fontId="12" fillId="2" borderId="18" xfId="0" applyNumberFormat="1" applyFont="1" applyFill="1" applyBorder="1"/>
    <xf numFmtId="0" fontId="12" fillId="11" borderId="1" xfId="0" applyFont="1" applyFill="1" applyBorder="1"/>
    <xf numFmtId="0" fontId="11" fillId="9" borderId="5" xfId="0" applyFont="1" applyFill="1" applyBorder="1" applyAlignment="1">
      <alignment horizontal="center" vertical="top" wrapText="1"/>
    </xf>
    <xf numFmtId="0" fontId="15" fillId="11" borderId="5" xfId="0" applyFont="1" applyFill="1" applyBorder="1" applyAlignment="1">
      <alignment horizontal="center" vertical="top" wrapText="1"/>
    </xf>
    <xf numFmtId="0" fontId="12" fillId="10" borderId="1" xfId="0" applyFont="1" applyFill="1" applyBorder="1"/>
    <xf numFmtId="0" fontId="15" fillId="10" borderId="2" xfId="0" applyFont="1" applyFill="1" applyBorder="1" applyAlignment="1">
      <alignment horizontal="center"/>
    </xf>
    <xf numFmtId="0" fontId="15" fillId="10" borderId="5" xfId="0" applyFont="1" applyFill="1" applyBorder="1" applyAlignment="1">
      <alignment horizontal="center"/>
    </xf>
    <xf numFmtId="0" fontId="12" fillId="10" borderId="7" xfId="0" applyFont="1" applyFill="1" applyBorder="1"/>
    <xf numFmtId="0" fontId="15" fillId="10" borderId="19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4" fillId="9" borderId="1" xfId="0" applyFont="1" applyFill="1" applyBorder="1"/>
    <xf numFmtId="0" fontId="12" fillId="2" borderId="1" xfId="0" applyFont="1" applyFill="1" applyBorder="1"/>
    <xf numFmtId="0" fontId="11" fillId="9" borderId="0" xfId="0" applyFont="1" applyFill="1" applyBorder="1"/>
    <xf numFmtId="0" fontId="14" fillId="9" borderId="0" xfId="0" applyFont="1" applyFill="1" applyBorder="1"/>
    <xf numFmtId="0" fontId="13" fillId="10" borderId="1" xfId="0" applyFont="1" applyFill="1" applyBorder="1"/>
    <xf numFmtId="0" fontId="13" fillId="10" borderId="4" xfId="0" applyFont="1" applyFill="1" applyBorder="1"/>
    <xf numFmtId="0" fontId="15" fillId="10" borderId="1" xfId="0" applyFont="1" applyFill="1" applyBorder="1"/>
    <xf numFmtId="0" fontId="13" fillId="11" borderId="4" xfId="0" applyFont="1" applyFill="1" applyBorder="1" applyAlignment="1">
      <alignment horizontal="right"/>
    </xf>
    <xf numFmtId="0" fontId="13" fillId="11" borderId="2" xfId="0" applyFont="1" applyFill="1" applyBorder="1" applyAlignment="1">
      <alignment horizontal="right"/>
    </xf>
    <xf numFmtId="0" fontId="11" fillId="9" borderId="16" xfId="0" applyFont="1" applyFill="1" applyBorder="1"/>
    <xf numFmtId="0" fontId="14" fillId="9" borderId="20" xfId="0" applyFont="1" applyFill="1" applyBorder="1"/>
    <xf numFmtId="0" fontId="14" fillId="9" borderId="17" xfId="0" applyFont="1" applyFill="1" applyBorder="1"/>
    <xf numFmtId="0" fontId="11" fillId="9" borderId="4" xfId="0" applyFont="1" applyFill="1" applyBorder="1" applyAlignment="1">
      <alignment horizontal="right"/>
    </xf>
    <xf numFmtId="0" fontId="11" fillId="9" borderId="2" xfId="0" applyFont="1" applyFill="1" applyBorder="1" applyAlignment="1">
      <alignment horizontal="right"/>
    </xf>
    <xf numFmtId="0" fontId="14" fillId="9" borderId="5" xfId="0" applyFont="1" applyFill="1" applyBorder="1"/>
    <xf numFmtId="0" fontId="15" fillId="8" borderId="1" xfId="0" applyFont="1" applyFill="1" applyBorder="1"/>
    <xf numFmtId="0" fontId="15" fillId="8" borderId="4" xfId="0" applyFont="1" applyFill="1" applyBorder="1"/>
    <xf numFmtId="0" fontId="15" fillId="8" borderId="2" xfId="0" applyFont="1" applyFill="1" applyBorder="1"/>
    <xf numFmtId="9" fontId="12" fillId="8" borderId="20" xfId="0" applyNumberFormat="1" applyFont="1" applyFill="1" applyBorder="1"/>
    <xf numFmtId="0" fontId="12" fillId="8" borderId="17" xfId="0" applyFont="1" applyFill="1" applyBorder="1"/>
    <xf numFmtId="9" fontId="12" fillId="8" borderId="0" xfId="0" applyNumberFormat="1" applyFont="1" applyFill="1" applyBorder="1"/>
    <xf numFmtId="0" fontId="15" fillId="8" borderId="7" xfId="0" applyFont="1" applyFill="1" applyBorder="1"/>
    <xf numFmtId="0" fontId="15" fillId="8" borderId="3" xfId="0" applyFont="1" applyFill="1" applyBorder="1"/>
    <xf numFmtId="4" fontId="14" fillId="9" borderId="7" xfId="0" applyNumberFormat="1" applyFont="1" applyFill="1" applyBorder="1"/>
    <xf numFmtId="4" fontId="14" fillId="9" borderId="3" xfId="0" applyNumberFormat="1" applyFont="1" applyFill="1" applyBorder="1"/>
    <xf numFmtId="4" fontId="14" fillId="9" borderId="19" xfId="0" applyNumberFormat="1" applyFont="1" applyFill="1" applyBorder="1"/>
    <xf numFmtId="4" fontId="15" fillId="11" borderId="1" xfId="0" applyNumberFormat="1" applyFont="1" applyFill="1" applyBorder="1" applyAlignment="1">
      <alignment horizontal="center" vertical="center"/>
    </xf>
    <xf numFmtId="4" fontId="15" fillId="11" borderId="5" xfId="0" applyNumberFormat="1" applyFont="1" applyFill="1" applyBorder="1" applyAlignment="1">
      <alignment horizontal="center" vertical="center"/>
    </xf>
    <xf numFmtId="4" fontId="15" fillId="11" borderId="5" xfId="0" applyNumberFormat="1" applyFont="1" applyFill="1" applyBorder="1" applyAlignment="1">
      <alignment horizontal="center" vertical="center" wrapText="1"/>
    </xf>
    <xf numFmtId="10" fontId="12" fillId="2" borderId="3" xfId="1" applyNumberFormat="1" applyFont="1" applyFill="1" applyBorder="1"/>
    <xf numFmtId="4" fontId="14" fillId="9" borderId="1" xfId="0" applyNumberFormat="1" applyFont="1" applyFill="1" applyBorder="1" applyAlignment="1">
      <alignment horizontal="right"/>
    </xf>
    <xf numFmtId="4" fontId="12" fillId="10" borderId="22" xfId="0" applyNumberFormat="1" applyFont="1" applyFill="1" applyBorder="1"/>
    <xf numFmtId="0" fontId="28" fillId="7" borderId="0" xfId="0" applyFont="1" applyFill="1" applyBorder="1"/>
    <xf numFmtId="0" fontId="10" fillId="7" borderId="0" xfId="0" applyFont="1" applyFill="1" applyBorder="1"/>
    <xf numFmtId="3" fontId="12" fillId="8" borderId="0" xfId="0" applyNumberFormat="1" applyFont="1" applyFill="1" applyBorder="1" applyAlignment="1">
      <alignment horizontal="center"/>
    </xf>
    <xf numFmtId="165" fontId="13" fillId="8" borderId="6" xfId="0" applyNumberFormat="1" applyFont="1" applyFill="1" applyBorder="1" applyAlignment="1">
      <alignment horizontal="center"/>
    </xf>
    <xf numFmtId="165" fontId="13" fillId="8" borderId="3" xfId="0" applyNumberFormat="1" applyFont="1" applyFill="1" applyBorder="1" applyAlignment="1">
      <alignment horizontal="center"/>
    </xf>
    <xf numFmtId="165" fontId="12" fillId="15" borderId="0" xfId="0" applyNumberFormat="1" applyFont="1" applyFill="1" applyBorder="1"/>
    <xf numFmtId="165" fontId="12" fillId="15" borderId="0" xfId="0" applyNumberFormat="1" applyFont="1" applyFill="1" applyBorder="1" applyAlignment="1">
      <alignment horizontal="center"/>
    </xf>
    <xf numFmtId="165" fontId="12" fillId="15" borderId="18" xfId="0" applyNumberFormat="1" applyFont="1" applyFill="1" applyBorder="1" applyAlignment="1">
      <alignment horizontal="center"/>
    </xf>
    <xf numFmtId="165" fontId="12" fillId="15" borderId="18" xfId="0" applyNumberFormat="1" applyFont="1" applyFill="1" applyBorder="1"/>
    <xf numFmtId="4" fontId="12" fillId="15" borderId="0" xfId="0" applyNumberFormat="1" applyFont="1" applyFill="1" applyBorder="1"/>
    <xf numFmtId="4" fontId="13" fillId="15" borderId="0" xfId="0" applyNumberFormat="1" applyFont="1" applyFill="1" applyBorder="1"/>
    <xf numFmtId="165" fontId="13" fillId="15" borderId="18" xfId="0" applyNumberFormat="1" applyFont="1" applyFill="1" applyBorder="1"/>
    <xf numFmtId="3" fontId="12" fillId="15" borderId="0" xfId="0" applyNumberFormat="1" applyFont="1" applyFill="1" applyBorder="1"/>
    <xf numFmtId="0" fontId="10" fillId="8" borderId="0" xfId="2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4" fontId="11" fillId="7" borderId="0" xfId="0" applyNumberFormat="1" applyFont="1" applyFill="1" applyAlignment="1">
      <alignment horizontal="center" vertical="center"/>
    </xf>
    <xf numFmtId="4" fontId="11" fillId="9" borderId="16" xfId="0" applyNumberFormat="1" applyFont="1" applyFill="1" applyBorder="1" applyAlignment="1">
      <alignment horizontal="center" vertical="center"/>
    </xf>
    <xf numFmtId="4" fontId="11" fillId="9" borderId="17" xfId="0" applyNumberFormat="1" applyFont="1" applyFill="1" applyBorder="1" applyAlignment="1">
      <alignment horizontal="center" vertical="center"/>
    </xf>
    <xf numFmtId="4" fontId="11" fillId="9" borderId="7" xfId="0" applyNumberFormat="1" applyFont="1" applyFill="1" applyBorder="1" applyAlignment="1">
      <alignment horizontal="center" vertical="center"/>
    </xf>
    <xf numFmtId="4" fontId="11" fillId="9" borderId="19" xfId="0" applyNumberFormat="1" applyFont="1" applyFill="1" applyBorder="1" applyAlignment="1">
      <alignment horizontal="center" vertical="center"/>
    </xf>
    <xf numFmtId="4" fontId="11" fillId="9" borderId="16" xfId="0" applyNumberFormat="1" applyFont="1" applyFill="1" applyBorder="1" applyAlignment="1">
      <alignment horizontal="center"/>
    </xf>
    <xf numFmtId="4" fontId="11" fillId="9" borderId="20" xfId="0" applyNumberFormat="1" applyFont="1" applyFill="1" applyBorder="1" applyAlignment="1">
      <alignment horizontal="center"/>
    </xf>
    <xf numFmtId="4" fontId="11" fillId="9" borderId="17" xfId="0" applyNumberFormat="1" applyFont="1" applyFill="1" applyBorder="1" applyAlignment="1">
      <alignment horizontal="center"/>
    </xf>
    <xf numFmtId="4" fontId="11" fillId="9" borderId="20" xfId="0" applyNumberFormat="1" applyFont="1" applyFill="1" applyBorder="1" applyAlignment="1">
      <alignment horizontal="center" vertical="center"/>
    </xf>
    <xf numFmtId="4" fontId="11" fillId="9" borderId="3" xfId="0" applyNumberFormat="1" applyFont="1" applyFill="1" applyBorder="1" applyAlignment="1">
      <alignment horizontal="center" vertical="center"/>
    </xf>
    <xf numFmtId="4" fontId="11" fillId="9" borderId="6" xfId="0" applyNumberFormat="1" applyFont="1" applyFill="1" applyBorder="1" applyAlignment="1">
      <alignment horizontal="center" vertical="center"/>
    </xf>
    <xf numFmtId="4" fontId="11" fillId="9" borderId="0" xfId="0" applyNumberFormat="1" applyFont="1" applyFill="1" applyBorder="1" applyAlignment="1">
      <alignment horizontal="center" vertical="center"/>
    </xf>
    <xf numFmtId="4" fontId="11" fillId="9" borderId="18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9" fontId="13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11" fillId="7" borderId="0" xfId="0" applyFont="1" applyFill="1" applyAlignment="1">
      <alignment horizontal="center" vertical="center"/>
    </xf>
    <xf numFmtId="165" fontId="11" fillId="7" borderId="0" xfId="0" applyNumberFormat="1" applyFont="1" applyFill="1" applyAlignment="1">
      <alignment horizontal="center" vertical="center"/>
    </xf>
    <xf numFmtId="165" fontId="11" fillId="9" borderId="16" xfId="0" applyNumberFormat="1" applyFont="1" applyFill="1" applyBorder="1" applyAlignment="1">
      <alignment horizontal="center" vertical="center"/>
    </xf>
    <xf numFmtId="165" fontId="11" fillId="9" borderId="20" xfId="0" applyNumberFormat="1" applyFont="1" applyFill="1" applyBorder="1" applyAlignment="1">
      <alignment horizontal="center" vertical="center"/>
    </xf>
    <xf numFmtId="165" fontId="11" fillId="9" borderId="17" xfId="0" applyNumberFormat="1" applyFont="1" applyFill="1" applyBorder="1" applyAlignment="1">
      <alignment horizontal="center" vertical="center"/>
    </xf>
    <xf numFmtId="165" fontId="11" fillId="9" borderId="7" xfId="0" applyNumberFormat="1" applyFont="1" applyFill="1" applyBorder="1" applyAlignment="1">
      <alignment horizontal="center" vertical="center"/>
    </xf>
    <xf numFmtId="165" fontId="11" fillId="9" borderId="3" xfId="0" applyNumberFormat="1" applyFont="1" applyFill="1" applyBorder="1" applyAlignment="1">
      <alignment horizontal="center" vertical="center"/>
    </xf>
    <xf numFmtId="165" fontId="11" fillId="9" borderId="19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Alignment="1">
      <alignment horizontal="center"/>
    </xf>
    <xf numFmtId="4" fontId="11" fillId="9" borderId="1" xfId="0" applyNumberFormat="1" applyFont="1" applyFill="1" applyBorder="1" applyAlignment="1">
      <alignment horizontal="center"/>
    </xf>
    <xf numFmtId="4" fontId="11" fillId="9" borderId="4" xfId="0" applyNumberFormat="1" applyFont="1" applyFill="1" applyBorder="1" applyAlignment="1">
      <alignment horizontal="center"/>
    </xf>
    <xf numFmtId="4" fontId="11" fillId="9" borderId="2" xfId="0" applyNumberFormat="1" applyFont="1" applyFill="1" applyBorder="1" applyAlignment="1">
      <alignment horizontal="center"/>
    </xf>
    <xf numFmtId="4" fontId="11" fillId="9" borderId="6" xfId="0" applyNumberFormat="1" applyFont="1" applyFill="1" applyBorder="1" applyAlignment="1">
      <alignment horizontal="center"/>
    </xf>
    <xf numFmtId="4" fontId="11" fillId="9" borderId="0" xfId="0" applyNumberFormat="1" applyFont="1" applyFill="1" applyBorder="1" applyAlignment="1">
      <alignment horizontal="center"/>
    </xf>
    <xf numFmtId="4" fontId="11" fillId="9" borderId="18" xfId="0" applyNumberFormat="1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 vertical="top" wrapText="1"/>
    </xf>
    <xf numFmtId="0" fontId="11" fillId="9" borderId="16" xfId="0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4" fontId="12" fillId="8" borderId="0" xfId="0" applyNumberFormat="1" applyFont="1" applyFill="1" applyBorder="1" applyAlignment="1">
      <alignment horizontal="center" vertical="center"/>
    </xf>
    <xf numFmtId="4" fontId="14" fillId="7" borderId="0" xfId="0" applyNumberFormat="1" applyFont="1" applyFill="1" applyAlignment="1">
      <alignment horizontal="center" vertical="center"/>
    </xf>
    <xf numFmtId="165" fontId="12" fillId="8" borderId="16" xfId="0" applyNumberFormat="1" applyFont="1" applyFill="1" applyBorder="1" applyAlignment="1">
      <alignment horizontal="center" vertical="center"/>
    </xf>
    <xf numFmtId="165" fontId="12" fillId="8" borderId="6" xfId="0" applyNumberFormat="1" applyFont="1" applyFill="1" applyBorder="1" applyAlignment="1">
      <alignment horizontal="center" vertical="center"/>
    </xf>
    <xf numFmtId="165" fontId="12" fillId="8" borderId="20" xfId="0" applyNumberFormat="1" applyFont="1" applyFill="1" applyBorder="1" applyAlignment="1">
      <alignment horizontal="center" vertical="center"/>
    </xf>
    <xf numFmtId="165" fontId="12" fillId="8" borderId="0" xfId="0" applyNumberFormat="1" applyFont="1" applyFill="1" applyBorder="1" applyAlignment="1">
      <alignment horizontal="center" vertical="center"/>
    </xf>
    <xf numFmtId="3" fontId="12" fillId="8" borderId="17" xfId="0" applyNumberFormat="1" applyFont="1" applyFill="1" applyBorder="1" applyAlignment="1">
      <alignment horizontal="center" vertical="center"/>
    </xf>
    <xf numFmtId="3" fontId="12" fillId="8" borderId="18" xfId="0" applyNumberFormat="1" applyFont="1" applyFill="1" applyBorder="1" applyAlignment="1">
      <alignment horizontal="center" vertical="center"/>
    </xf>
    <xf numFmtId="4" fontId="12" fillId="8" borderId="6" xfId="0" applyNumberFormat="1" applyFont="1" applyFill="1" applyBorder="1" applyAlignment="1">
      <alignment horizontal="center" vertical="center"/>
    </xf>
    <xf numFmtId="4" fontId="14" fillId="7" borderId="0" xfId="0" applyNumberFormat="1" applyFont="1" applyFill="1" applyAlignment="1">
      <alignment horizontal="center"/>
    </xf>
    <xf numFmtId="4" fontId="12" fillId="8" borderId="6" xfId="0" applyNumberFormat="1" applyFont="1" applyFill="1" applyBorder="1" applyAlignment="1">
      <alignment horizontal="left" vertical="center"/>
    </xf>
    <xf numFmtId="165" fontId="12" fillId="8" borderId="0" xfId="0" applyNumberFormat="1" applyFont="1" applyFill="1" applyBorder="1" applyAlignment="1">
      <alignment horizontal="center"/>
    </xf>
    <xf numFmtId="165" fontId="12" fillId="8" borderId="3" xfId="0" applyNumberFormat="1" applyFont="1" applyFill="1" applyBorder="1" applyAlignment="1">
      <alignment horizontal="center"/>
    </xf>
    <xf numFmtId="165" fontId="16" fillId="2" borderId="0" xfId="0" quotePrefix="1" applyNumberFormat="1" applyFont="1" applyFill="1" applyBorder="1" applyAlignment="1">
      <alignment horizontal="center"/>
    </xf>
    <xf numFmtId="165" fontId="12" fillId="8" borderId="14" xfId="0" quotePrefix="1" applyNumberFormat="1" applyFont="1" applyFill="1" applyBorder="1" applyAlignment="1">
      <alignment horizontal="center" vertical="top"/>
    </xf>
    <xf numFmtId="165" fontId="12" fillId="8" borderId="0" xfId="0" applyNumberFormat="1" applyFont="1" applyFill="1" applyBorder="1" applyAlignment="1">
      <alignment horizontal="center" vertical="top"/>
    </xf>
    <xf numFmtId="165" fontId="12" fillId="8" borderId="3" xfId="0" applyNumberFormat="1" applyFont="1" applyFill="1" applyBorder="1" applyAlignment="1">
      <alignment horizontal="center" vertical="top"/>
    </xf>
    <xf numFmtId="3" fontId="11" fillId="7" borderId="0" xfId="0" applyNumberFormat="1" applyFont="1" applyFill="1" applyAlignment="1">
      <alignment horizontal="center" vertical="center"/>
    </xf>
    <xf numFmtId="3" fontId="15" fillId="8" borderId="20" xfId="0" applyNumberFormat="1" applyFont="1" applyFill="1" applyBorder="1" applyAlignment="1">
      <alignment horizontal="center"/>
    </xf>
    <xf numFmtId="3" fontId="15" fillId="8" borderId="17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3" fontId="12" fillId="8" borderId="0" xfId="0" applyNumberFormat="1" applyFont="1" applyFill="1" applyBorder="1" applyAlignment="1">
      <alignment horizontal="center"/>
    </xf>
    <xf numFmtId="0" fontId="11" fillId="9" borderId="16" xfId="0" applyFont="1" applyFill="1" applyBorder="1" applyAlignment="1">
      <alignment horizontal="center"/>
    </xf>
    <xf numFmtId="0" fontId="11" fillId="9" borderId="20" xfId="0" applyFont="1" applyFill="1" applyBorder="1" applyAlignment="1">
      <alignment horizontal="center"/>
    </xf>
    <xf numFmtId="0" fontId="11" fillId="9" borderId="17" xfId="0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</xdr:colOff>
      <xdr:row>0</xdr:row>
      <xdr:rowOff>21518</xdr:rowOff>
    </xdr:from>
    <xdr:to>
      <xdr:col>3</xdr:col>
      <xdr:colOff>259080</xdr:colOff>
      <xdr:row>2</xdr:row>
      <xdr:rowOff>172211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C0025A-1481-4FDF-BE61-AE6DDFFD3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99" y="21518"/>
          <a:ext cx="2057401" cy="51645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2</xdr:row>
      <xdr:rowOff>30480</xdr:rowOff>
    </xdr:from>
    <xdr:to>
      <xdr:col>0</xdr:col>
      <xdr:colOff>1150620</xdr:colOff>
      <xdr:row>3</xdr:row>
      <xdr:rowOff>152400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432A63-28A7-4A37-AE79-4BCE7C88EEB8}"/>
            </a:ext>
          </a:extLst>
        </xdr:cNvPr>
        <xdr:cNvSpPr/>
      </xdr:nvSpPr>
      <xdr:spPr>
        <a:xfrm>
          <a:off x="160020" y="464820"/>
          <a:ext cx="990600" cy="29718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22860</xdr:colOff>
      <xdr:row>0</xdr:row>
      <xdr:rowOff>30480</xdr:rowOff>
    </xdr:from>
    <xdr:to>
      <xdr:col>1</xdr:col>
      <xdr:colOff>372579</xdr:colOff>
      <xdr:row>1</xdr:row>
      <xdr:rowOff>156171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FEB8C4D-BBB4-4536-BE1E-1A3210782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" y="30480"/>
          <a:ext cx="1500339" cy="37715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2</xdr:row>
      <xdr:rowOff>7620</xdr:rowOff>
    </xdr:from>
    <xdr:to>
      <xdr:col>0</xdr:col>
      <xdr:colOff>1127760</xdr:colOff>
      <xdr:row>3</xdr:row>
      <xdr:rowOff>99060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DE8D36-E795-469E-AC23-A1DA3268367E}"/>
            </a:ext>
          </a:extLst>
        </xdr:cNvPr>
        <xdr:cNvSpPr/>
      </xdr:nvSpPr>
      <xdr:spPr>
        <a:xfrm>
          <a:off x="137160" y="449580"/>
          <a:ext cx="990600" cy="28956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334479</xdr:colOff>
      <xdr:row>1</xdr:row>
      <xdr:rowOff>125691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148D05-A40A-4AB3-8D4A-A42703877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00339" cy="3771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2</xdr:row>
      <xdr:rowOff>22860</xdr:rowOff>
    </xdr:from>
    <xdr:to>
      <xdr:col>0</xdr:col>
      <xdr:colOff>1150620</xdr:colOff>
      <xdr:row>3</xdr:row>
      <xdr:rowOff>129540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28AC4B-E5F3-4BBC-B1BC-4A73E50C2137}"/>
            </a:ext>
          </a:extLst>
        </xdr:cNvPr>
        <xdr:cNvSpPr/>
      </xdr:nvSpPr>
      <xdr:spPr>
        <a:xfrm>
          <a:off x="160020" y="457200"/>
          <a:ext cx="990600" cy="28194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22860</xdr:colOff>
      <xdr:row>0</xdr:row>
      <xdr:rowOff>0</xdr:rowOff>
    </xdr:from>
    <xdr:to>
      <xdr:col>1</xdr:col>
      <xdr:colOff>52539</xdr:colOff>
      <xdr:row>1</xdr:row>
      <xdr:rowOff>125691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5A9494C-B0E4-4A2E-A496-73AC6CC32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" y="0"/>
          <a:ext cx="1500339" cy="37715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</xdr:row>
      <xdr:rowOff>30480</xdr:rowOff>
    </xdr:from>
    <xdr:to>
      <xdr:col>0</xdr:col>
      <xdr:colOff>1127760</xdr:colOff>
      <xdr:row>4</xdr:row>
      <xdr:rowOff>137160</xdr:rowOff>
    </xdr:to>
    <xdr:sp macro="" textlink="">
      <xdr:nvSpPr>
        <xdr:cNvPr id="6" name="Rectángulo: esquinas redondeada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65740A-1AB6-4135-9B02-BE17B93F4E1D}"/>
            </a:ext>
          </a:extLst>
        </xdr:cNvPr>
        <xdr:cNvSpPr/>
      </xdr:nvSpPr>
      <xdr:spPr>
        <a:xfrm>
          <a:off x="137160" y="457200"/>
          <a:ext cx="990600" cy="28194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243039</xdr:colOff>
      <xdr:row>1</xdr:row>
      <xdr:rowOff>125691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4759412-1EAA-4211-A8F7-8C8383F44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00339" cy="37715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2</xdr:row>
      <xdr:rowOff>30480</xdr:rowOff>
    </xdr:from>
    <xdr:to>
      <xdr:col>1</xdr:col>
      <xdr:colOff>121920</xdr:colOff>
      <xdr:row>4</xdr:row>
      <xdr:rowOff>76200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DD969C-A2F2-495A-949B-B0E7E5FFA9C3}"/>
            </a:ext>
          </a:extLst>
        </xdr:cNvPr>
        <xdr:cNvSpPr/>
      </xdr:nvSpPr>
      <xdr:spPr>
        <a:xfrm>
          <a:off x="137160" y="457200"/>
          <a:ext cx="990600" cy="28194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494499</xdr:colOff>
      <xdr:row>1</xdr:row>
      <xdr:rowOff>125691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E7A5B80-B7FB-4B01-95E9-19995CFED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00339" cy="37715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2</xdr:row>
      <xdr:rowOff>60960</xdr:rowOff>
    </xdr:from>
    <xdr:to>
      <xdr:col>1</xdr:col>
      <xdr:colOff>236220</xdr:colOff>
      <xdr:row>4</xdr:row>
      <xdr:rowOff>53340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EBD88F-FE19-40AA-AE9E-364D6208788E}"/>
            </a:ext>
          </a:extLst>
        </xdr:cNvPr>
        <xdr:cNvSpPr/>
      </xdr:nvSpPr>
      <xdr:spPr>
        <a:xfrm>
          <a:off x="137160" y="480060"/>
          <a:ext cx="990600" cy="32766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22860</xdr:rowOff>
    </xdr:from>
    <xdr:to>
      <xdr:col>1</xdr:col>
      <xdr:colOff>608799</xdr:colOff>
      <xdr:row>1</xdr:row>
      <xdr:rowOff>148551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EE3E825-C9B8-4552-9E21-E249D206F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2860"/>
          <a:ext cx="1500339" cy="37715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2</xdr:row>
      <xdr:rowOff>30480</xdr:rowOff>
    </xdr:from>
    <xdr:to>
      <xdr:col>1</xdr:col>
      <xdr:colOff>198120</xdr:colOff>
      <xdr:row>4</xdr:row>
      <xdr:rowOff>7620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F5F3EB-8533-4EF0-B5BA-9AB845226CE9}"/>
            </a:ext>
          </a:extLst>
        </xdr:cNvPr>
        <xdr:cNvSpPr/>
      </xdr:nvSpPr>
      <xdr:spPr>
        <a:xfrm>
          <a:off x="137160" y="449580"/>
          <a:ext cx="990600" cy="31242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570699</xdr:colOff>
      <xdr:row>1</xdr:row>
      <xdr:rowOff>125691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4315EF-C5D4-4C3A-8F07-9EB052DA3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00339" cy="37715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2</xdr:row>
      <xdr:rowOff>30480</xdr:rowOff>
    </xdr:from>
    <xdr:to>
      <xdr:col>1</xdr:col>
      <xdr:colOff>30480</xdr:colOff>
      <xdr:row>3</xdr:row>
      <xdr:rowOff>167640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37D2C2-EBB7-4BD8-8CFA-E09ED8DE5BD0}"/>
            </a:ext>
          </a:extLst>
        </xdr:cNvPr>
        <xdr:cNvSpPr/>
      </xdr:nvSpPr>
      <xdr:spPr>
        <a:xfrm>
          <a:off x="137160" y="457200"/>
          <a:ext cx="990600" cy="31242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403059</xdr:colOff>
      <xdr:row>1</xdr:row>
      <xdr:rowOff>133311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5308EB-629D-4705-88DE-2F20B16D0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620"/>
          <a:ext cx="1500339" cy="37715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13</xdr:row>
      <xdr:rowOff>28575</xdr:rowOff>
    </xdr:from>
    <xdr:to>
      <xdr:col>4</xdr:col>
      <xdr:colOff>9525</xdr:colOff>
      <xdr:row>18</xdr:row>
      <xdr:rowOff>76200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F36A9B7A-AC0A-4EC4-A234-40D8BC958AC4}"/>
            </a:ext>
          </a:extLst>
        </xdr:cNvPr>
        <xdr:cNvCxnSpPr/>
      </xdr:nvCxnSpPr>
      <xdr:spPr>
        <a:xfrm flipV="1">
          <a:off x="1219200" y="8201025"/>
          <a:ext cx="771525" cy="695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10</xdr:row>
      <xdr:rowOff>9526</xdr:rowOff>
    </xdr:from>
    <xdr:to>
      <xdr:col>6</xdr:col>
      <xdr:colOff>0</xdr:colOff>
      <xdr:row>12</xdr:row>
      <xdr:rowOff>95250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9C20B7F0-6670-4B19-AF14-2C4D1C841ECB}"/>
            </a:ext>
          </a:extLst>
        </xdr:cNvPr>
        <xdr:cNvCxnSpPr/>
      </xdr:nvCxnSpPr>
      <xdr:spPr>
        <a:xfrm flipV="1">
          <a:off x="2895600" y="8020051"/>
          <a:ext cx="800100" cy="4095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12</xdr:row>
      <xdr:rowOff>95250</xdr:rowOff>
    </xdr:from>
    <xdr:to>
      <xdr:col>5</xdr:col>
      <xdr:colOff>790575</xdr:colOff>
      <xdr:row>15</xdr:row>
      <xdr:rowOff>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D58C211B-132D-4BFF-8677-CE5CD9F30DF2}"/>
            </a:ext>
          </a:extLst>
        </xdr:cNvPr>
        <xdr:cNvCxnSpPr/>
      </xdr:nvCxnSpPr>
      <xdr:spPr>
        <a:xfrm>
          <a:off x="2886075" y="8429625"/>
          <a:ext cx="790575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152400</xdr:rowOff>
    </xdr:from>
    <xdr:to>
      <xdr:col>8</xdr:col>
      <xdr:colOff>19050</xdr:colOff>
      <xdr:row>9</xdr:row>
      <xdr:rowOff>76200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D9AD7F96-BDDE-4A66-9772-6D9E4869A340}"/>
            </a:ext>
          </a:extLst>
        </xdr:cNvPr>
        <xdr:cNvCxnSpPr/>
      </xdr:nvCxnSpPr>
      <xdr:spPr>
        <a:xfrm flipV="1">
          <a:off x="4448175" y="7677150"/>
          <a:ext cx="561975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742950</xdr:colOff>
      <xdr:row>9</xdr:row>
      <xdr:rowOff>66675</xdr:rowOff>
    </xdr:from>
    <xdr:to>
      <xdr:col>8</xdr:col>
      <xdr:colOff>9525</xdr:colOff>
      <xdr:row>10</xdr:row>
      <xdr:rowOff>123825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A9AC2502-7B39-4A26-97FE-EF82DA2006CC}"/>
            </a:ext>
          </a:extLst>
        </xdr:cNvPr>
        <xdr:cNvCxnSpPr/>
      </xdr:nvCxnSpPr>
      <xdr:spPr>
        <a:xfrm>
          <a:off x="4438650" y="7915275"/>
          <a:ext cx="561975" cy="219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18</xdr:row>
      <xdr:rowOff>95250</xdr:rowOff>
    </xdr:from>
    <xdr:to>
      <xdr:col>3</xdr:col>
      <xdr:colOff>771525</xdr:colOff>
      <xdr:row>24</xdr:row>
      <xdr:rowOff>9525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C4F4D027-A30D-43D0-8234-11E38DEAE383}"/>
            </a:ext>
          </a:extLst>
        </xdr:cNvPr>
        <xdr:cNvCxnSpPr/>
      </xdr:nvCxnSpPr>
      <xdr:spPr>
        <a:xfrm>
          <a:off x="1200150" y="9239250"/>
          <a:ext cx="771525" cy="885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21</xdr:row>
      <xdr:rowOff>152400</xdr:rowOff>
    </xdr:from>
    <xdr:to>
      <xdr:col>5</xdr:col>
      <xdr:colOff>800100</xdr:colOff>
      <xdr:row>24</xdr:row>
      <xdr:rowOff>76199</xdr:rowOff>
    </xdr:to>
    <xdr:cxnSp macro="">
      <xdr:nvCxnSpPr>
        <xdr:cNvPr id="22" name="Conector recto 21">
          <a:extLst>
            <a:ext uri="{FF2B5EF4-FFF2-40B4-BE49-F238E27FC236}">
              <a16:creationId xmlns:a16="http://schemas.microsoft.com/office/drawing/2014/main" id="{1EAEF407-F992-45B4-A302-7DC739966BB6}"/>
            </a:ext>
          </a:extLst>
        </xdr:cNvPr>
        <xdr:cNvCxnSpPr/>
      </xdr:nvCxnSpPr>
      <xdr:spPr>
        <a:xfrm flipV="1">
          <a:off x="2886075" y="9782175"/>
          <a:ext cx="800100" cy="4095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24</xdr:row>
      <xdr:rowOff>85725</xdr:rowOff>
    </xdr:from>
    <xdr:to>
      <xdr:col>5</xdr:col>
      <xdr:colOff>800100</xdr:colOff>
      <xdr:row>26</xdr:row>
      <xdr:rowOff>76200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577C22AF-D941-48B9-BBF1-55538F853811}"/>
            </a:ext>
          </a:extLst>
        </xdr:cNvPr>
        <xdr:cNvCxnSpPr/>
      </xdr:nvCxnSpPr>
      <xdr:spPr>
        <a:xfrm>
          <a:off x="2886075" y="10363200"/>
          <a:ext cx="80010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19050</xdr:colOff>
      <xdr:row>21</xdr:row>
      <xdr:rowOff>85725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F46CD735-69A0-40C7-A359-04E08FD0B7F2}"/>
            </a:ext>
          </a:extLst>
        </xdr:cNvPr>
        <xdr:cNvCxnSpPr/>
      </xdr:nvCxnSpPr>
      <xdr:spPr>
        <a:xfrm flipV="1">
          <a:off x="4448175" y="9467850"/>
          <a:ext cx="561975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95250</xdr:rowOff>
    </xdr:from>
    <xdr:to>
      <xdr:col>8</xdr:col>
      <xdr:colOff>19050</xdr:colOff>
      <xdr:row>23</xdr:row>
      <xdr:rowOff>0</xdr:rowOff>
    </xdr:to>
    <xdr:cxnSp macro="">
      <xdr:nvCxnSpPr>
        <xdr:cNvPr id="25" name="Conector recto 24">
          <a:extLst>
            <a:ext uri="{FF2B5EF4-FFF2-40B4-BE49-F238E27FC236}">
              <a16:creationId xmlns:a16="http://schemas.microsoft.com/office/drawing/2014/main" id="{A86FE097-62EC-495A-A065-53A375019923}"/>
            </a:ext>
          </a:extLst>
        </xdr:cNvPr>
        <xdr:cNvCxnSpPr/>
      </xdr:nvCxnSpPr>
      <xdr:spPr>
        <a:xfrm>
          <a:off x="4457700" y="9886950"/>
          <a:ext cx="771525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39</xdr:row>
      <xdr:rowOff>28575</xdr:rowOff>
    </xdr:from>
    <xdr:to>
      <xdr:col>4</xdr:col>
      <xdr:colOff>9525</xdr:colOff>
      <xdr:row>44</xdr:row>
      <xdr:rowOff>76200</xdr:rowOff>
    </xdr:to>
    <xdr:cxnSp macro="">
      <xdr:nvCxnSpPr>
        <xdr:cNvPr id="31" name="Conector recto 30">
          <a:extLst>
            <a:ext uri="{FF2B5EF4-FFF2-40B4-BE49-F238E27FC236}">
              <a16:creationId xmlns:a16="http://schemas.microsoft.com/office/drawing/2014/main" id="{F3BE4BCB-F366-44D7-B12B-466388FDFB22}"/>
            </a:ext>
          </a:extLst>
        </xdr:cNvPr>
        <xdr:cNvCxnSpPr/>
      </xdr:nvCxnSpPr>
      <xdr:spPr>
        <a:xfrm flipV="1">
          <a:off x="1219200" y="8524875"/>
          <a:ext cx="771525" cy="857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36</xdr:row>
      <xdr:rowOff>9526</xdr:rowOff>
    </xdr:from>
    <xdr:to>
      <xdr:col>6</xdr:col>
      <xdr:colOff>0</xdr:colOff>
      <xdr:row>38</xdr:row>
      <xdr:rowOff>95250</xdr:rowOff>
    </xdr:to>
    <xdr:cxnSp macro="">
      <xdr:nvCxnSpPr>
        <xdr:cNvPr id="32" name="Conector recto 31">
          <a:extLst>
            <a:ext uri="{FF2B5EF4-FFF2-40B4-BE49-F238E27FC236}">
              <a16:creationId xmlns:a16="http://schemas.microsoft.com/office/drawing/2014/main" id="{8CECDD71-A992-4D9C-A94D-6D50BE72880E}"/>
            </a:ext>
          </a:extLst>
        </xdr:cNvPr>
        <xdr:cNvCxnSpPr/>
      </xdr:nvCxnSpPr>
      <xdr:spPr>
        <a:xfrm flipV="1">
          <a:off x="2895600" y="8020051"/>
          <a:ext cx="800100" cy="4095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38</xdr:row>
      <xdr:rowOff>95250</xdr:rowOff>
    </xdr:from>
    <xdr:to>
      <xdr:col>5</xdr:col>
      <xdr:colOff>790575</xdr:colOff>
      <xdr:row>41</xdr:row>
      <xdr:rowOff>0</xdr:rowOff>
    </xdr:to>
    <xdr:cxnSp macro="">
      <xdr:nvCxnSpPr>
        <xdr:cNvPr id="33" name="Conector recto 32">
          <a:extLst>
            <a:ext uri="{FF2B5EF4-FFF2-40B4-BE49-F238E27FC236}">
              <a16:creationId xmlns:a16="http://schemas.microsoft.com/office/drawing/2014/main" id="{F0B3E2F8-2F58-4C4D-804C-39D3B19DBFF0}"/>
            </a:ext>
          </a:extLst>
        </xdr:cNvPr>
        <xdr:cNvCxnSpPr/>
      </xdr:nvCxnSpPr>
      <xdr:spPr>
        <a:xfrm>
          <a:off x="2886075" y="8429625"/>
          <a:ext cx="790575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33</xdr:row>
      <xdr:rowOff>152400</xdr:rowOff>
    </xdr:from>
    <xdr:to>
      <xdr:col>8</xdr:col>
      <xdr:colOff>19050</xdr:colOff>
      <xdr:row>35</xdr:row>
      <xdr:rowOff>76200</xdr:rowOff>
    </xdr:to>
    <xdr:cxnSp macro="">
      <xdr:nvCxnSpPr>
        <xdr:cNvPr id="34" name="Conector recto 33">
          <a:extLst>
            <a:ext uri="{FF2B5EF4-FFF2-40B4-BE49-F238E27FC236}">
              <a16:creationId xmlns:a16="http://schemas.microsoft.com/office/drawing/2014/main" id="{BAAD446F-D5F0-499D-893A-04F5180757DA}"/>
            </a:ext>
          </a:extLst>
        </xdr:cNvPr>
        <xdr:cNvCxnSpPr/>
      </xdr:nvCxnSpPr>
      <xdr:spPr>
        <a:xfrm flipV="1">
          <a:off x="4448175" y="7677150"/>
          <a:ext cx="78105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35</xdr:row>
      <xdr:rowOff>66675</xdr:rowOff>
    </xdr:from>
    <xdr:to>
      <xdr:col>8</xdr:col>
      <xdr:colOff>9525</xdr:colOff>
      <xdr:row>36</xdr:row>
      <xdr:rowOff>123825</xdr:rowOff>
    </xdr:to>
    <xdr:cxnSp macro="">
      <xdr:nvCxnSpPr>
        <xdr:cNvPr id="35" name="Conector recto 34">
          <a:extLst>
            <a:ext uri="{FF2B5EF4-FFF2-40B4-BE49-F238E27FC236}">
              <a16:creationId xmlns:a16="http://schemas.microsoft.com/office/drawing/2014/main" id="{88BCB1EB-96E6-4BA1-B081-D9B7E9DDB688}"/>
            </a:ext>
          </a:extLst>
        </xdr:cNvPr>
        <xdr:cNvCxnSpPr/>
      </xdr:nvCxnSpPr>
      <xdr:spPr>
        <a:xfrm>
          <a:off x="3048000" y="5410200"/>
          <a:ext cx="771525" cy="219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44</xdr:row>
      <xdr:rowOff>95250</xdr:rowOff>
    </xdr:from>
    <xdr:to>
      <xdr:col>3</xdr:col>
      <xdr:colOff>771525</xdr:colOff>
      <xdr:row>50</xdr:row>
      <xdr:rowOff>9525</xdr:rowOff>
    </xdr:to>
    <xdr:cxnSp macro="">
      <xdr:nvCxnSpPr>
        <xdr:cNvPr id="36" name="Conector recto 35">
          <a:extLst>
            <a:ext uri="{FF2B5EF4-FFF2-40B4-BE49-F238E27FC236}">
              <a16:creationId xmlns:a16="http://schemas.microsoft.com/office/drawing/2014/main" id="{641955C8-0ABB-4F9F-9625-0E57ED712E00}"/>
            </a:ext>
          </a:extLst>
        </xdr:cNvPr>
        <xdr:cNvCxnSpPr/>
      </xdr:nvCxnSpPr>
      <xdr:spPr>
        <a:xfrm>
          <a:off x="1200150" y="9401175"/>
          <a:ext cx="771525" cy="885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47</xdr:row>
      <xdr:rowOff>152400</xdr:rowOff>
    </xdr:from>
    <xdr:to>
      <xdr:col>5</xdr:col>
      <xdr:colOff>800100</xdr:colOff>
      <xdr:row>50</xdr:row>
      <xdr:rowOff>76199</xdr:rowOff>
    </xdr:to>
    <xdr:cxnSp macro="">
      <xdr:nvCxnSpPr>
        <xdr:cNvPr id="37" name="Conector recto 36">
          <a:extLst>
            <a:ext uri="{FF2B5EF4-FFF2-40B4-BE49-F238E27FC236}">
              <a16:creationId xmlns:a16="http://schemas.microsoft.com/office/drawing/2014/main" id="{462D4168-165F-462C-BD38-9AAA6EB69285}"/>
            </a:ext>
          </a:extLst>
        </xdr:cNvPr>
        <xdr:cNvCxnSpPr/>
      </xdr:nvCxnSpPr>
      <xdr:spPr>
        <a:xfrm flipV="1">
          <a:off x="2886075" y="9944100"/>
          <a:ext cx="800100" cy="4095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50</xdr:row>
      <xdr:rowOff>85725</xdr:rowOff>
    </xdr:from>
    <xdr:to>
      <xdr:col>5</xdr:col>
      <xdr:colOff>800100</xdr:colOff>
      <xdr:row>52</xdr:row>
      <xdr:rowOff>76200</xdr:rowOff>
    </xdr:to>
    <xdr:cxnSp macro="">
      <xdr:nvCxnSpPr>
        <xdr:cNvPr id="38" name="Conector recto 37">
          <a:extLst>
            <a:ext uri="{FF2B5EF4-FFF2-40B4-BE49-F238E27FC236}">
              <a16:creationId xmlns:a16="http://schemas.microsoft.com/office/drawing/2014/main" id="{6B207F91-33DC-43BE-86E2-983A4ABDAB00}"/>
            </a:ext>
          </a:extLst>
        </xdr:cNvPr>
        <xdr:cNvCxnSpPr/>
      </xdr:nvCxnSpPr>
      <xdr:spPr>
        <a:xfrm>
          <a:off x="2886075" y="10363200"/>
          <a:ext cx="80010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46</xdr:row>
      <xdr:rowOff>0</xdr:rowOff>
    </xdr:from>
    <xdr:to>
      <xdr:col>8</xdr:col>
      <xdr:colOff>19050</xdr:colOff>
      <xdr:row>47</xdr:row>
      <xdr:rowOff>85725</xdr:rowOff>
    </xdr:to>
    <xdr:cxnSp macro="">
      <xdr:nvCxnSpPr>
        <xdr:cNvPr id="39" name="Conector recto 38">
          <a:extLst>
            <a:ext uri="{FF2B5EF4-FFF2-40B4-BE49-F238E27FC236}">
              <a16:creationId xmlns:a16="http://schemas.microsoft.com/office/drawing/2014/main" id="{5399EA62-23E3-49ED-B3A2-0A89C62CF534}"/>
            </a:ext>
          </a:extLst>
        </xdr:cNvPr>
        <xdr:cNvCxnSpPr/>
      </xdr:nvCxnSpPr>
      <xdr:spPr>
        <a:xfrm flipV="1">
          <a:off x="4448175" y="9629775"/>
          <a:ext cx="78105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47</xdr:row>
      <xdr:rowOff>133350</xdr:rowOff>
    </xdr:from>
    <xdr:to>
      <xdr:col>8</xdr:col>
      <xdr:colOff>95250</xdr:colOff>
      <xdr:row>49</xdr:row>
      <xdr:rowOff>38100</xdr:rowOff>
    </xdr:to>
    <xdr:cxnSp macro="">
      <xdr:nvCxnSpPr>
        <xdr:cNvPr id="40" name="Conector recto 39">
          <a:extLst>
            <a:ext uri="{FF2B5EF4-FFF2-40B4-BE49-F238E27FC236}">
              <a16:creationId xmlns:a16="http://schemas.microsoft.com/office/drawing/2014/main" id="{E1535B99-F578-4AD0-8B94-AC0903E14BD3}"/>
            </a:ext>
          </a:extLst>
        </xdr:cNvPr>
        <xdr:cNvCxnSpPr/>
      </xdr:nvCxnSpPr>
      <xdr:spPr>
        <a:xfrm>
          <a:off x="4819650" y="8705850"/>
          <a:ext cx="857250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55</xdr:row>
      <xdr:rowOff>142875</xdr:rowOff>
    </xdr:from>
    <xdr:to>
      <xdr:col>17</xdr:col>
      <xdr:colOff>95250</xdr:colOff>
      <xdr:row>57</xdr:row>
      <xdr:rowOff>0</xdr:rowOff>
    </xdr:to>
    <xdr:sp macro="" textlink="">
      <xdr:nvSpPr>
        <xdr:cNvPr id="41" name="Abrir corchete 40">
          <a:extLst>
            <a:ext uri="{FF2B5EF4-FFF2-40B4-BE49-F238E27FC236}">
              <a16:creationId xmlns:a16="http://schemas.microsoft.com/office/drawing/2014/main" id="{127FF5F5-59EC-4F3F-B8B2-9C6A4194932D}"/>
            </a:ext>
          </a:extLst>
        </xdr:cNvPr>
        <xdr:cNvSpPr/>
      </xdr:nvSpPr>
      <xdr:spPr>
        <a:xfrm>
          <a:off x="12658725" y="15440025"/>
          <a:ext cx="85725" cy="1809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23</xdr:col>
      <xdr:colOff>866775</xdr:colOff>
      <xdr:row>55</xdr:row>
      <xdr:rowOff>123824</xdr:rowOff>
    </xdr:from>
    <xdr:to>
      <xdr:col>24</xdr:col>
      <xdr:colOff>7619</xdr:colOff>
      <xdr:row>57</xdr:row>
      <xdr:rowOff>19049</xdr:rowOff>
    </xdr:to>
    <xdr:sp macro="" textlink="">
      <xdr:nvSpPr>
        <xdr:cNvPr id="42" name="Cerrar corchete 41">
          <a:extLst>
            <a:ext uri="{FF2B5EF4-FFF2-40B4-BE49-F238E27FC236}">
              <a16:creationId xmlns:a16="http://schemas.microsoft.com/office/drawing/2014/main" id="{F4141811-C3EB-4567-BA66-B8E1054985A7}"/>
            </a:ext>
          </a:extLst>
        </xdr:cNvPr>
        <xdr:cNvSpPr/>
      </xdr:nvSpPr>
      <xdr:spPr>
        <a:xfrm>
          <a:off x="18945225" y="15420974"/>
          <a:ext cx="45719" cy="21907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9525</xdr:colOff>
      <xdr:row>58</xdr:row>
      <xdr:rowOff>152400</xdr:rowOff>
    </xdr:from>
    <xdr:to>
      <xdr:col>17</xdr:col>
      <xdr:colOff>95250</xdr:colOff>
      <xdr:row>60</xdr:row>
      <xdr:rowOff>9525</xdr:rowOff>
    </xdr:to>
    <xdr:sp macro="" textlink="">
      <xdr:nvSpPr>
        <xdr:cNvPr id="43" name="Abrir corchete 42">
          <a:extLst>
            <a:ext uri="{FF2B5EF4-FFF2-40B4-BE49-F238E27FC236}">
              <a16:creationId xmlns:a16="http://schemas.microsoft.com/office/drawing/2014/main" id="{27AD3507-086A-4BA8-A17F-C8D0B540DCA1}"/>
            </a:ext>
          </a:extLst>
        </xdr:cNvPr>
        <xdr:cNvSpPr/>
      </xdr:nvSpPr>
      <xdr:spPr>
        <a:xfrm>
          <a:off x="12658725" y="15935325"/>
          <a:ext cx="85725" cy="1809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23</xdr:col>
      <xdr:colOff>857250</xdr:colOff>
      <xdr:row>59</xdr:row>
      <xdr:rowOff>1</xdr:rowOff>
    </xdr:from>
    <xdr:to>
      <xdr:col>23</xdr:col>
      <xdr:colOff>902969</xdr:colOff>
      <xdr:row>60</xdr:row>
      <xdr:rowOff>9526</xdr:rowOff>
    </xdr:to>
    <xdr:sp macro="" textlink="">
      <xdr:nvSpPr>
        <xdr:cNvPr id="44" name="Cerrar corchete 43">
          <a:extLst>
            <a:ext uri="{FF2B5EF4-FFF2-40B4-BE49-F238E27FC236}">
              <a16:creationId xmlns:a16="http://schemas.microsoft.com/office/drawing/2014/main" id="{F274D65F-CCA5-4D6E-9C2C-2CF5E3031CB6}"/>
            </a:ext>
          </a:extLst>
        </xdr:cNvPr>
        <xdr:cNvSpPr/>
      </xdr:nvSpPr>
      <xdr:spPr>
        <a:xfrm>
          <a:off x="18935700" y="15944851"/>
          <a:ext cx="45719" cy="1714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714375</xdr:colOff>
      <xdr:row>18</xdr:row>
      <xdr:rowOff>38101</xdr:rowOff>
    </xdr:from>
    <xdr:to>
      <xdr:col>3</xdr:col>
      <xdr:colOff>19050</xdr:colOff>
      <xdr:row>19</xdr:row>
      <xdr:rowOff>38100</xdr:rowOff>
    </xdr:to>
    <xdr:sp macro="" textlink="">
      <xdr:nvSpPr>
        <xdr:cNvPr id="46" name="Elipse 45">
          <a:extLst>
            <a:ext uri="{FF2B5EF4-FFF2-40B4-BE49-F238E27FC236}">
              <a16:creationId xmlns:a16="http://schemas.microsoft.com/office/drawing/2014/main" id="{ECC05E4C-206F-4B13-8CB0-F1D260300704}"/>
            </a:ext>
          </a:extLst>
        </xdr:cNvPr>
        <xdr:cNvSpPr/>
      </xdr:nvSpPr>
      <xdr:spPr>
        <a:xfrm>
          <a:off x="1047750" y="6677026"/>
          <a:ext cx="171450" cy="161924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676275</xdr:colOff>
      <xdr:row>44</xdr:row>
      <xdr:rowOff>0</xdr:rowOff>
    </xdr:from>
    <xdr:to>
      <xdr:col>2</xdr:col>
      <xdr:colOff>847725</xdr:colOff>
      <xdr:row>44</xdr:row>
      <xdr:rowOff>161924</xdr:rowOff>
    </xdr:to>
    <xdr:sp macro="" textlink="">
      <xdr:nvSpPr>
        <xdr:cNvPr id="47" name="Elipse 46">
          <a:extLst>
            <a:ext uri="{FF2B5EF4-FFF2-40B4-BE49-F238E27FC236}">
              <a16:creationId xmlns:a16="http://schemas.microsoft.com/office/drawing/2014/main" id="{03142614-BFB6-4FE8-AC9C-409B373C75BF}"/>
            </a:ext>
          </a:extLst>
        </xdr:cNvPr>
        <xdr:cNvSpPr/>
      </xdr:nvSpPr>
      <xdr:spPr>
        <a:xfrm>
          <a:off x="1009650" y="10848975"/>
          <a:ext cx="171450" cy="161924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15</xdr:col>
      <xdr:colOff>19050</xdr:colOff>
      <xdr:row>55</xdr:row>
      <xdr:rowOff>47625</xdr:rowOff>
    </xdr:from>
    <xdr:to>
      <xdr:col>15</xdr:col>
      <xdr:colOff>123825</xdr:colOff>
      <xdr:row>57</xdr:row>
      <xdr:rowOff>123825</xdr:rowOff>
    </xdr:to>
    <xdr:sp macro="" textlink="">
      <xdr:nvSpPr>
        <xdr:cNvPr id="48" name="Abrir corchete 47">
          <a:extLst>
            <a:ext uri="{FF2B5EF4-FFF2-40B4-BE49-F238E27FC236}">
              <a16:creationId xmlns:a16="http://schemas.microsoft.com/office/drawing/2014/main" id="{11246E56-4889-4C96-BF67-B5F6920CCF3E}"/>
            </a:ext>
          </a:extLst>
        </xdr:cNvPr>
        <xdr:cNvSpPr/>
      </xdr:nvSpPr>
      <xdr:spPr>
        <a:xfrm>
          <a:off x="9458325" y="12677775"/>
          <a:ext cx="104775" cy="4000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15</xdr:col>
      <xdr:colOff>19050</xdr:colOff>
      <xdr:row>58</xdr:row>
      <xdr:rowOff>47625</xdr:rowOff>
    </xdr:from>
    <xdr:to>
      <xdr:col>15</xdr:col>
      <xdr:colOff>123825</xdr:colOff>
      <xdr:row>60</xdr:row>
      <xdr:rowOff>123825</xdr:rowOff>
    </xdr:to>
    <xdr:sp macro="" textlink="">
      <xdr:nvSpPr>
        <xdr:cNvPr id="49" name="Abrir corchete 48">
          <a:extLst>
            <a:ext uri="{FF2B5EF4-FFF2-40B4-BE49-F238E27FC236}">
              <a16:creationId xmlns:a16="http://schemas.microsoft.com/office/drawing/2014/main" id="{C1A5461E-5A66-48BB-85F6-8F73AC843699}"/>
            </a:ext>
          </a:extLst>
        </xdr:cNvPr>
        <xdr:cNvSpPr/>
      </xdr:nvSpPr>
      <xdr:spPr>
        <a:xfrm>
          <a:off x="9458325" y="13163550"/>
          <a:ext cx="104775" cy="4000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24</xdr:col>
      <xdr:colOff>19050</xdr:colOff>
      <xdr:row>55</xdr:row>
      <xdr:rowOff>28575</xdr:rowOff>
    </xdr:from>
    <xdr:to>
      <xdr:col>24</xdr:col>
      <xdr:colOff>123825</xdr:colOff>
      <xdr:row>57</xdr:row>
      <xdr:rowOff>104775</xdr:rowOff>
    </xdr:to>
    <xdr:sp macro="" textlink="">
      <xdr:nvSpPr>
        <xdr:cNvPr id="50" name="Abrir corchete 49">
          <a:extLst>
            <a:ext uri="{FF2B5EF4-FFF2-40B4-BE49-F238E27FC236}">
              <a16:creationId xmlns:a16="http://schemas.microsoft.com/office/drawing/2014/main" id="{DDBAB12B-00A4-48F3-A73E-82B7DFEFCAAA}"/>
            </a:ext>
          </a:extLst>
        </xdr:cNvPr>
        <xdr:cNvSpPr/>
      </xdr:nvSpPr>
      <xdr:spPr>
        <a:xfrm rot="10800000">
          <a:off x="17602200" y="12658725"/>
          <a:ext cx="104775" cy="4000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24</xdr:col>
      <xdr:colOff>19050</xdr:colOff>
      <xdr:row>58</xdr:row>
      <xdr:rowOff>66675</xdr:rowOff>
    </xdr:from>
    <xdr:to>
      <xdr:col>24</xdr:col>
      <xdr:colOff>123825</xdr:colOff>
      <xdr:row>60</xdr:row>
      <xdr:rowOff>142875</xdr:rowOff>
    </xdr:to>
    <xdr:sp macro="" textlink="">
      <xdr:nvSpPr>
        <xdr:cNvPr id="51" name="Abrir corchete 50">
          <a:extLst>
            <a:ext uri="{FF2B5EF4-FFF2-40B4-BE49-F238E27FC236}">
              <a16:creationId xmlns:a16="http://schemas.microsoft.com/office/drawing/2014/main" id="{BC3D2F31-0FEA-4934-A037-40BFFF4319C1}"/>
            </a:ext>
          </a:extLst>
        </xdr:cNvPr>
        <xdr:cNvSpPr/>
      </xdr:nvSpPr>
      <xdr:spPr>
        <a:xfrm rot="10800000">
          <a:off x="17602200" y="13182600"/>
          <a:ext cx="104775" cy="4000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5</xdr:col>
      <xdr:colOff>790575</xdr:colOff>
      <xdr:row>35</xdr:row>
      <xdr:rowOff>19050</xdr:rowOff>
    </xdr:from>
    <xdr:to>
      <xdr:col>7</xdr:col>
      <xdr:colOff>19050</xdr:colOff>
      <xdr:row>36</xdr:row>
      <xdr:rowOff>19049</xdr:rowOff>
    </xdr:to>
    <xdr:sp macro="" textlink="">
      <xdr:nvSpPr>
        <xdr:cNvPr id="45" name="Elipse 44">
          <a:extLst>
            <a:ext uri="{FF2B5EF4-FFF2-40B4-BE49-F238E27FC236}">
              <a16:creationId xmlns:a16="http://schemas.microsoft.com/office/drawing/2014/main" id="{89CB9981-3D67-4086-94E5-1B465366E1F7}"/>
            </a:ext>
          </a:extLst>
        </xdr:cNvPr>
        <xdr:cNvSpPr/>
      </xdr:nvSpPr>
      <xdr:spPr>
        <a:xfrm>
          <a:off x="2895600" y="5362575"/>
          <a:ext cx="171450" cy="161924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5</xdr:col>
      <xdr:colOff>771525</xdr:colOff>
      <xdr:row>40</xdr:row>
      <xdr:rowOff>114300</xdr:rowOff>
    </xdr:from>
    <xdr:to>
      <xdr:col>7</xdr:col>
      <xdr:colOff>0</xdr:colOff>
      <xdr:row>41</xdr:row>
      <xdr:rowOff>114299</xdr:rowOff>
    </xdr:to>
    <xdr:sp macro="" textlink="">
      <xdr:nvSpPr>
        <xdr:cNvPr id="52" name="Elipse 51">
          <a:extLst>
            <a:ext uri="{FF2B5EF4-FFF2-40B4-BE49-F238E27FC236}">
              <a16:creationId xmlns:a16="http://schemas.microsoft.com/office/drawing/2014/main" id="{91360F89-B193-4CDD-9298-AD006247E20E}"/>
            </a:ext>
          </a:extLst>
        </xdr:cNvPr>
        <xdr:cNvSpPr/>
      </xdr:nvSpPr>
      <xdr:spPr>
        <a:xfrm>
          <a:off x="2876550" y="6267450"/>
          <a:ext cx="171450" cy="161924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7</xdr:col>
      <xdr:colOff>38100</xdr:colOff>
      <xdr:row>47</xdr:row>
      <xdr:rowOff>161924</xdr:rowOff>
    </xdr:to>
    <xdr:sp macro="" textlink="">
      <xdr:nvSpPr>
        <xdr:cNvPr id="53" name="Elipse 52">
          <a:extLst>
            <a:ext uri="{FF2B5EF4-FFF2-40B4-BE49-F238E27FC236}">
              <a16:creationId xmlns:a16="http://schemas.microsoft.com/office/drawing/2014/main" id="{71E73EF2-CC40-490A-9F1C-16312D415EB0}"/>
            </a:ext>
          </a:extLst>
        </xdr:cNvPr>
        <xdr:cNvSpPr/>
      </xdr:nvSpPr>
      <xdr:spPr>
        <a:xfrm>
          <a:off x="2914650" y="7286625"/>
          <a:ext cx="171450" cy="161924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7</xdr:col>
      <xdr:colOff>38100</xdr:colOff>
      <xdr:row>52</xdr:row>
      <xdr:rowOff>161924</xdr:rowOff>
    </xdr:to>
    <xdr:sp macro="" textlink="">
      <xdr:nvSpPr>
        <xdr:cNvPr id="54" name="Elipse 53">
          <a:extLst>
            <a:ext uri="{FF2B5EF4-FFF2-40B4-BE49-F238E27FC236}">
              <a16:creationId xmlns:a16="http://schemas.microsoft.com/office/drawing/2014/main" id="{6428C35F-DB4D-4F29-9963-23ACA25980C0}"/>
            </a:ext>
          </a:extLst>
        </xdr:cNvPr>
        <xdr:cNvSpPr/>
      </xdr:nvSpPr>
      <xdr:spPr>
        <a:xfrm>
          <a:off x="2914650" y="8096250"/>
          <a:ext cx="171450" cy="161924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38100</xdr:colOff>
      <xdr:row>9</xdr:row>
      <xdr:rowOff>161924</xdr:rowOff>
    </xdr:to>
    <xdr:sp macro="" textlink="">
      <xdr:nvSpPr>
        <xdr:cNvPr id="57" name="Elipse 56">
          <a:extLst>
            <a:ext uri="{FF2B5EF4-FFF2-40B4-BE49-F238E27FC236}">
              <a16:creationId xmlns:a16="http://schemas.microsoft.com/office/drawing/2014/main" id="{EE982C73-B220-49F4-AC97-C3CBA6938D1B}"/>
            </a:ext>
          </a:extLst>
        </xdr:cNvPr>
        <xdr:cNvSpPr/>
      </xdr:nvSpPr>
      <xdr:spPr>
        <a:xfrm>
          <a:off x="2914650" y="1133475"/>
          <a:ext cx="171450" cy="161924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38100</xdr:colOff>
      <xdr:row>15</xdr:row>
      <xdr:rowOff>161924</xdr:rowOff>
    </xdr:to>
    <xdr:sp macro="" textlink="">
      <xdr:nvSpPr>
        <xdr:cNvPr id="58" name="Elipse 57">
          <a:extLst>
            <a:ext uri="{FF2B5EF4-FFF2-40B4-BE49-F238E27FC236}">
              <a16:creationId xmlns:a16="http://schemas.microsoft.com/office/drawing/2014/main" id="{50AD0CB5-F62B-4B33-9607-C159027503F6}"/>
            </a:ext>
          </a:extLst>
        </xdr:cNvPr>
        <xdr:cNvSpPr/>
      </xdr:nvSpPr>
      <xdr:spPr>
        <a:xfrm>
          <a:off x="2914650" y="2105025"/>
          <a:ext cx="171450" cy="161924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38100</xdr:colOff>
      <xdr:row>21</xdr:row>
      <xdr:rowOff>161924</xdr:rowOff>
    </xdr:to>
    <xdr:sp macro="" textlink="">
      <xdr:nvSpPr>
        <xdr:cNvPr id="59" name="Elipse 58">
          <a:extLst>
            <a:ext uri="{FF2B5EF4-FFF2-40B4-BE49-F238E27FC236}">
              <a16:creationId xmlns:a16="http://schemas.microsoft.com/office/drawing/2014/main" id="{02928894-9044-4503-9375-B1D1D30C5BE1}"/>
            </a:ext>
          </a:extLst>
        </xdr:cNvPr>
        <xdr:cNvSpPr/>
      </xdr:nvSpPr>
      <xdr:spPr>
        <a:xfrm>
          <a:off x="2914650" y="3076575"/>
          <a:ext cx="171450" cy="161924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7</xdr:col>
      <xdr:colOff>38100</xdr:colOff>
      <xdr:row>26</xdr:row>
      <xdr:rowOff>161924</xdr:rowOff>
    </xdr:to>
    <xdr:sp macro="" textlink="">
      <xdr:nvSpPr>
        <xdr:cNvPr id="60" name="Elipse 59">
          <a:extLst>
            <a:ext uri="{FF2B5EF4-FFF2-40B4-BE49-F238E27FC236}">
              <a16:creationId xmlns:a16="http://schemas.microsoft.com/office/drawing/2014/main" id="{0C469E62-5BED-4D24-9742-7D1AFF9F4F8A}"/>
            </a:ext>
          </a:extLst>
        </xdr:cNvPr>
        <xdr:cNvSpPr/>
      </xdr:nvSpPr>
      <xdr:spPr>
        <a:xfrm>
          <a:off x="2914650" y="3886200"/>
          <a:ext cx="171450" cy="161924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11</xdr:col>
      <xdr:colOff>594360</xdr:colOff>
      <xdr:row>31</xdr:row>
      <xdr:rowOff>1</xdr:rowOff>
    </xdr:from>
    <xdr:to>
      <xdr:col>12</xdr:col>
      <xdr:colOff>68580</xdr:colOff>
      <xdr:row>40</xdr:row>
      <xdr:rowOff>167641</xdr:rowOff>
    </xdr:to>
    <xdr:sp macro="" textlink="">
      <xdr:nvSpPr>
        <xdr:cNvPr id="5" name="Abrir llave 4">
          <a:extLst>
            <a:ext uri="{FF2B5EF4-FFF2-40B4-BE49-F238E27FC236}">
              <a16:creationId xmlns:a16="http://schemas.microsoft.com/office/drawing/2014/main" id="{330B5F40-C02D-4E0A-A985-4777B4AFC962}"/>
            </a:ext>
          </a:extLst>
        </xdr:cNvPr>
        <xdr:cNvSpPr/>
      </xdr:nvSpPr>
      <xdr:spPr>
        <a:xfrm>
          <a:off x="8549640" y="5509261"/>
          <a:ext cx="205740" cy="174498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11</xdr:col>
      <xdr:colOff>636270</xdr:colOff>
      <xdr:row>42</xdr:row>
      <xdr:rowOff>45720</xdr:rowOff>
    </xdr:from>
    <xdr:to>
      <xdr:col>12</xdr:col>
      <xdr:colOff>26670</xdr:colOff>
      <xdr:row>51</xdr:row>
      <xdr:rowOff>131445</xdr:rowOff>
    </xdr:to>
    <xdr:sp macro="" textlink="">
      <xdr:nvSpPr>
        <xdr:cNvPr id="62" name="Abrir llave 61">
          <a:extLst>
            <a:ext uri="{FF2B5EF4-FFF2-40B4-BE49-F238E27FC236}">
              <a16:creationId xmlns:a16="http://schemas.microsoft.com/office/drawing/2014/main" id="{B5A2C78C-6629-4CAB-926F-A81CF4C095FD}"/>
            </a:ext>
          </a:extLst>
        </xdr:cNvPr>
        <xdr:cNvSpPr/>
      </xdr:nvSpPr>
      <xdr:spPr>
        <a:xfrm>
          <a:off x="8591550" y="7490460"/>
          <a:ext cx="121920" cy="167068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0</xdr:col>
      <xdr:colOff>144780</xdr:colOff>
      <xdr:row>2</xdr:row>
      <xdr:rowOff>60960</xdr:rowOff>
    </xdr:from>
    <xdr:to>
      <xdr:col>0</xdr:col>
      <xdr:colOff>1135380</xdr:colOff>
      <xdr:row>4</xdr:row>
      <xdr:rowOff>30480</xdr:rowOff>
    </xdr:to>
    <xdr:sp macro="" textlink="">
      <xdr:nvSpPr>
        <xdr:cNvPr id="56" name="Rectángulo: esquinas redondeadas 5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0E8A70-BA7D-4FC7-926B-4B7E3809B7CB}"/>
            </a:ext>
          </a:extLst>
        </xdr:cNvPr>
        <xdr:cNvSpPr/>
      </xdr:nvSpPr>
      <xdr:spPr>
        <a:xfrm>
          <a:off x="144780" y="487680"/>
          <a:ext cx="990600" cy="32004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7620</xdr:colOff>
      <xdr:row>0</xdr:row>
      <xdr:rowOff>38100</xdr:rowOff>
    </xdr:from>
    <xdr:to>
      <xdr:col>0</xdr:col>
      <xdr:colOff>1507959</xdr:colOff>
      <xdr:row>1</xdr:row>
      <xdr:rowOff>163791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34FDF099-26F5-47F6-93BE-18F05A0A3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" y="38100"/>
          <a:ext cx="1500339" cy="37715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11</xdr:row>
      <xdr:rowOff>0</xdr:rowOff>
    </xdr:from>
    <xdr:to>
      <xdr:col>6</xdr:col>
      <xdr:colOff>19050</xdr:colOff>
      <xdr:row>13</xdr:row>
      <xdr:rowOff>144780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D4A19D7-CC8E-48FC-A5B2-79E81C3FB155}"/>
            </a:ext>
          </a:extLst>
        </xdr:cNvPr>
        <xdr:cNvSpPr>
          <a:spLocks noChangeShapeType="1"/>
        </xdr:cNvSpPr>
      </xdr:nvSpPr>
      <xdr:spPr bwMode="auto">
        <a:xfrm flipV="1">
          <a:off x="2926080" y="1600200"/>
          <a:ext cx="948690" cy="480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15</xdr:row>
      <xdr:rowOff>19050</xdr:rowOff>
    </xdr:from>
    <xdr:to>
      <xdr:col>6</xdr:col>
      <xdr:colOff>47625</xdr:colOff>
      <xdr:row>18</xdr:row>
      <xdr:rowOff>66675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D9C5344-6270-46E6-B783-9D988703E041}"/>
            </a:ext>
          </a:extLst>
        </xdr:cNvPr>
        <xdr:cNvSpPr>
          <a:spLocks noChangeShapeType="1"/>
        </xdr:cNvSpPr>
      </xdr:nvSpPr>
      <xdr:spPr bwMode="auto">
        <a:xfrm>
          <a:off x="866775" y="2000250"/>
          <a:ext cx="3810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10</xdr:row>
      <xdr:rowOff>85725</xdr:rowOff>
    </xdr:from>
    <xdr:to>
      <xdr:col>8</xdr:col>
      <xdr:colOff>0</xdr:colOff>
      <xdr:row>13</xdr:row>
      <xdr:rowOff>161925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CDCB37A9-0557-454F-9E7E-FB2B64A6FFDC}"/>
            </a:ext>
          </a:extLst>
        </xdr:cNvPr>
        <xdr:cNvSpPr>
          <a:spLocks noChangeShapeType="1"/>
        </xdr:cNvSpPr>
      </xdr:nvSpPr>
      <xdr:spPr bwMode="auto">
        <a:xfrm>
          <a:off x="1285875" y="1323975"/>
          <a:ext cx="68580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6</xdr:row>
      <xdr:rowOff>152400</xdr:rowOff>
    </xdr:from>
    <xdr:to>
      <xdr:col>8</xdr:col>
      <xdr:colOff>38100</xdr:colOff>
      <xdr:row>10</xdr:row>
      <xdr:rowOff>85725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FB055570-2A7A-4B69-B4B4-8E5F9A039714}"/>
            </a:ext>
          </a:extLst>
        </xdr:cNvPr>
        <xdr:cNvSpPr>
          <a:spLocks noChangeShapeType="1"/>
        </xdr:cNvSpPr>
      </xdr:nvSpPr>
      <xdr:spPr bwMode="auto">
        <a:xfrm flipV="1">
          <a:off x="1304925" y="828675"/>
          <a:ext cx="70485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</xdr:colOff>
      <xdr:row>3</xdr:row>
      <xdr:rowOff>68580</xdr:rowOff>
    </xdr:from>
    <xdr:to>
      <xdr:col>10</xdr:col>
      <xdr:colOff>487680</xdr:colOff>
      <xdr:row>5</xdr:row>
      <xdr:rowOff>142874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7CC9EEB5-4D96-4CEE-956C-9151B078AF1D}"/>
            </a:ext>
          </a:extLst>
        </xdr:cNvPr>
        <xdr:cNvSpPr>
          <a:spLocks noChangeShapeType="1"/>
        </xdr:cNvSpPr>
      </xdr:nvSpPr>
      <xdr:spPr bwMode="auto">
        <a:xfrm flipV="1">
          <a:off x="5434965" y="571500"/>
          <a:ext cx="737235" cy="4095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7</xdr:row>
      <xdr:rowOff>0</xdr:rowOff>
    </xdr:from>
    <xdr:to>
      <xdr:col>10</xdr:col>
      <xdr:colOff>472440</xdr:colOff>
      <xdr:row>9</xdr:row>
      <xdr:rowOff>91440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20A15DAC-03F9-462D-95C2-FDDD019A303D}"/>
            </a:ext>
          </a:extLst>
        </xdr:cNvPr>
        <xdr:cNvSpPr>
          <a:spLocks noChangeShapeType="1"/>
        </xdr:cNvSpPr>
      </xdr:nvSpPr>
      <xdr:spPr bwMode="auto">
        <a:xfrm>
          <a:off x="5415915" y="929640"/>
          <a:ext cx="741045" cy="426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</xdr:colOff>
      <xdr:row>12</xdr:row>
      <xdr:rowOff>99060</xdr:rowOff>
    </xdr:from>
    <xdr:to>
      <xdr:col>10</xdr:col>
      <xdr:colOff>487680</xdr:colOff>
      <xdr:row>13</xdr:row>
      <xdr:rowOff>160020</xdr:rowOff>
    </xdr:to>
    <xdr:sp macro="" textlink="">
      <xdr:nvSpPr>
        <xdr:cNvPr id="8" name="Line 12">
          <a:extLst>
            <a:ext uri="{FF2B5EF4-FFF2-40B4-BE49-F238E27FC236}">
              <a16:creationId xmlns:a16="http://schemas.microsoft.com/office/drawing/2014/main" id="{A6914D48-A599-4CFB-B98A-72D5487FADB0}"/>
            </a:ext>
          </a:extLst>
        </xdr:cNvPr>
        <xdr:cNvSpPr>
          <a:spLocks noChangeShapeType="1"/>
        </xdr:cNvSpPr>
      </xdr:nvSpPr>
      <xdr:spPr bwMode="auto">
        <a:xfrm flipV="1">
          <a:off x="6515100" y="2240280"/>
          <a:ext cx="731520" cy="2362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15</xdr:row>
      <xdr:rowOff>53340</xdr:rowOff>
    </xdr:from>
    <xdr:to>
      <xdr:col>10</xdr:col>
      <xdr:colOff>457200</xdr:colOff>
      <xdr:row>18</xdr:row>
      <xdr:rowOff>53339</xdr:rowOff>
    </xdr:to>
    <xdr:sp macro="" textlink="">
      <xdr:nvSpPr>
        <xdr:cNvPr id="9" name="Line 13">
          <a:extLst>
            <a:ext uri="{FF2B5EF4-FFF2-40B4-BE49-F238E27FC236}">
              <a16:creationId xmlns:a16="http://schemas.microsoft.com/office/drawing/2014/main" id="{B10F94E3-9985-4C0F-BFFD-7D3B8E391683}"/>
            </a:ext>
          </a:extLst>
        </xdr:cNvPr>
        <xdr:cNvSpPr>
          <a:spLocks noChangeShapeType="1"/>
        </xdr:cNvSpPr>
      </xdr:nvSpPr>
      <xdr:spPr bwMode="auto">
        <a:xfrm>
          <a:off x="5387340" y="2415540"/>
          <a:ext cx="754380" cy="5029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10</xdr:row>
      <xdr:rowOff>66674</xdr:rowOff>
    </xdr:from>
    <xdr:to>
      <xdr:col>6</xdr:col>
      <xdr:colOff>95250</xdr:colOff>
      <xdr:row>11</xdr:row>
      <xdr:rowOff>0</xdr:rowOff>
    </xdr:to>
    <xdr:sp macro="" textlink="">
      <xdr:nvSpPr>
        <xdr:cNvPr id="11" name="Elipse 10">
          <a:extLst>
            <a:ext uri="{FF2B5EF4-FFF2-40B4-BE49-F238E27FC236}">
              <a16:creationId xmlns:a16="http://schemas.microsoft.com/office/drawing/2014/main" id="{0E881991-E5BF-47FA-BD43-E2074DE51A8A}"/>
            </a:ext>
          </a:extLst>
        </xdr:cNvPr>
        <xdr:cNvSpPr/>
      </xdr:nvSpPr>
      <xdr:spPr>
        <a:xfrm>
          <a:off x="1971675" y="1457324"/>
          <a:ext cx="85725" cy="95251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72390</xdr:colOff>
      <xdr:row>18</xdr:row>
      <xdr:rowOff>72390</xdr:rowOff>
    </xdr:from>
    <xdr:to>
      <xdr:col>6</xdr:col>
      <xdr:colOff>158115</xdr:colOff>
      <xdr:row>18</xdr:row>
      <xdr:rowOff>167641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F5EBDA7D-32DF-4ECA-9835-A6484F296DE5}"/>
            </a:ext>
          </a:extLst>
        </xdr:cNvPr>
        <xdr:cNvSpPr/>
      </xdr:nvSpPr>
      <xdr:spPr>
        <a:xfrm>
          <a:off x="5002530" y="3135630"/>
          <a:ext cx="85725" cy="95251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</xdr:col>
      <xdr:colOff>510540</xdr:colOff>
      <xdr:row>33</xdr:row>
      <xdr:rowOff>0</xdr:rowOff>
    </xdr:from>
    <xdr:to>
      <xdr:col>6</xdr:col>
      <xdr:colOff>19050</xdr:colOff>
      <xdr:row>35</xdr:row>
      <xdr:rowOff>144780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AD74AA29-DD91-41FE-9B0C-FADFD7A104BA}"/>
            </a:ext>
          </a:extLst>
        </xdr:cNvPr>
        <xdr:cNvSpPr>
          <a:spLocks noChangeShapeType="1"/>
        </xdr:cNvSpPr>
      </xdr:nvSpPr>
      <xdr:spPr bwMode="auto">
        <a:xfrm flipV="1">
          <a:off x="2865120" y="5227320"/>
          <a:ext cx="1009650" cy="480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37</xdr:row>
      <xdr:rowOff>19050</xdr:rowOff>
    </xdr:from>
    <xdr:to>
      <xdr:col>6</xdr:col>
      <xdr:colOff>47625</xdr:colOff>
      <xdr:row>40</xdr:row>
      <xdr:rowOff>66675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4DDEDFCB-D39D-4B16-A5F2-8D17E6EFEA47}"/>
            </a:ext>
          </a:extLst>
        </xdr:cNvPr>
        <xdr:cNvSpPr>
          <a:spLocks noChangeShapeType="1"/>
        </xdr:cNvSpPr>
      </xdr:nvSpPr>
      <xdr:spPr bwMode="auto">
        <a:xfrm>
          <a:off x="2390775" y="2152650"/>
          <a:ext cx="38100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32</xdr:row>
      <xdr:rowOff>85725</xdr:rowOff>
    </xdr:from>
    <xdr:to>
      <xdr:col>8</xdr:col>
      <xdr:colOff>0</xdr:colOff>
      <xdr:row>35</xdr:row>
      <xdr:rowOff>161925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31B9B5BA-9A0F-457D-B210-DE1249C97119}"/>
            </a:ext>
          </a:extLst>
        </xdr:cNvPr>
        <xdr:cNvSpPr>
          <a:spLocks noChangeShapeType="1"/>
        </xdr:cNvSpPr>
      </xdr:nvSpPr>
      <xdr:spPr bwMode="auto">
        <a:xfrm>
          <a:off x="2809875" y="1476375"/>
          <a:ext cx="68580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28</xdr:row>
      <xdr:rowOff>167639</xdr:rowOff>
    </xdr:from>
    <xdr:to>
      <xdr:col>7</xdr:col>
      <xdr:colOff>220980</xdr:colOff>
      <xdr:row>32</xdr:row>
      <xdr:rowOff>85724</xdr:rowOff>
    </xdr:to>
    <xdr:sp macro="" textlink="">
      <xdr:nvSpPr>
        <xdr:cNvPr id="16" name="Line 6">
          <a:extLst>
            <a:ext uri="{FF2B5EF4-FFF2-40B4-BE49-F238E27FC236}">
              <a16:creationId xmlns:a16="http://schemas.microsoft.com/office/drawing/2014/main" id="{51AB33C9-C4FF-43E0-A9BC-A53EF63E3437}"/>
            </a:ext>
          </a:extLst>
        </xdr:cNvPr>
        <xdr:cNvSpPr>
          <a:spLocks noChangeShapeType="1"/>
        </xdr:cNvSpPr>
      </xdr:nvSpPr>
      <xdr:spPr bwMode="auto">
        <a:xfrm flipV="1">
          <a:off x="3960495" y="4549139"/>
          <a:ext cx="870585" cy="596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</xdr:colOff>
      <xdr:row>25</xdr:row>
      <xdr:rowOff>137159</xdr:rowOff>
    </xdr:from>
    <xdr:to>
      <xdr:col>10</xdr:col>
      <xdr:colOff>480060</xdr:colOff>
      <xdr:row>27</xdr:row>
      <xdr:rowOff>142874</xdr:rowOff>
    </xdr:to>
    <xdr:sp macro="" textlink="">
      <xdr:nvSpPr>
        <xdr:cNvPr id="17" name="Line 7">
          <a:extLst>
            <a:ext uri="{FF2B5EF4-FFF2-40B4-BE49-F238E27FC236}">
              <a16:creationId xmlns:a16="http://schemas.microsoft.com/office/drawing/2014/main" id="{93475F98-C523-4373-AB8D-95A749CB1CCE}"/>
            </a:ext>
          </a:extLst>
        </xdr:cNvPr>
        <xdr:cNvSpPr>
          <a:spLocks noChangeShapeType="1"/>
        </xdr:cNvSpPr>
      </xdr:nvSpPr>
      <xdr:spPr bwMode="auto">
        <a:xfrm flipV="1">
          <a:off x="5434965" y="4008119"/>
          <a:ext cx="729615" cy="3409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29</xdr:row>
      <xdr:rowOff>0</xdr:rowOff>
    </xdr:from>
    <xdr:to>
      <xdr:col>10</xdr:col>
      <xdr:colOff>396240</xdr:colOff>
      <xdr:row>31</xdr:row>
      <xdr:rowOff>144780</xdr:rowOff>
    </xdr:to>
    <xdr:sp macro="" textlink="">
      <xdr:nvSpPr>
        <xdr:cNvPr id="18" name="Line 8">
          <a:extLst>
            <a:ext uri="{FF2B5EF4-FFF2-40B4-BE49-F238E27FC236}">
              <a16:creationId xmlns:a16="http://schemas.microsoft.com/office/drawing/2014/main" id="{89F611F9-EC0C-4943-95FA-9D643D84B803}"/>
            </a:ext>
          </a:extLst>
        </xdr:cNvPr>
        <xdr:cNvSpPr>
          <a:spLocks noChangeShapeType="1"/>
        </xdr:cNvSpPr>
      </xdr:nvSpPr>
      <xdr:spPr bwMode="auto">
        <a:xfrm>
          <a:off x="5415915" y="4556760"/>
          <a:ext cx="664845" cy="480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33</xdr:row>
      <xdr:rowOff>160020</xdr:rowOff>
    </xdr:from>
    <xdr:to>
      <xdr:col>10</xdr:col>
      <xdr:colOff>502920</xdr:colOff>
      <xdr:row>35</xdr:row>
      <xdr:rowOff>152400</xdr:rowOff>
    </xdr:to>
    <xdr:sp macro="" textlink="">
      <xdr:nvSpPr>
        <xdr:cNvPr id="19" name="Line 12">
          <a:extLst>
            <a:ext uri="{FF2B5EF4-FFF2-40B4-BE49-F238E27FC236}">
              <a16:creationId xmlns:a16="http://schemas.microsoft.com/office/drawing/2014/main" id="{390B1AB4-BB9F-471B-8BB0-8FC185074BB8}"/>
            </a:ext>
          </a:extLst>
        </xdr:cNvPr>
        <xdr:cNvSpPr>
          <a:spLocks noChangeShapeType="1"/>
        </xdr:cNvSpPr>
      </xdr:nvSpPr>
      <xdr:spPr bwMode="auto">
        <a:xfrm flipV="1">
          <a:off x="5406390" y="5387340"/>
          <a:ext cx="781050" cy="3276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9524</xdr:rowOff>
    </xdr:from>
    <xdr:to>
      <xdr:col>10</xdr:col>
      <xdr:colOff>518160</xdr:colOff>
      <xdr:row>40</xdr:row>
      <xdr:rowOff>53339</xdr:rowOff>
    </xdr:to>
    <xdr:sp macro="" textlink="">
      <xdr:nvSpPr>
        <xdr:cNvPr id="20" name="Line 13">
          <a:extLst>
            <a:ext uri="{FF2B5EF4-FFF2-40B4-BE49-F238E27FC236}">
              <a16:creationId xmlns:a16="http://schemas.microsoft.com/office/drawing/2014/main" id="{92BD77B6-7212-4B3C-941F-A5DB3BCE9E14}"/>
            </a:ext>
          </a:extLst>
        </xdr:cNvPr>
        <xdr:cNvSpPr>
          <a:spLocks noChangeShapeType="1"/>
        </xdr:cNvSpPr>
      </xdr:nvSpPr>
      <xdr:spPr bwMode="auto">
        <a:xfrm>
          <a:off x="5387340" y="5922644"/>
          <a:ext cx="815340" cy="5467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32</xdr:row>
      <xdr:rowOff>66674</xdr:rowOff>
    </xdr:from>
    <xdr:to>
      <xdr:col>6</xdr:col>
      <xdr:colOff>95250</xdr:colOff>
      <xdr:row>33</xdr:row>
      <xdr:rowOff>0</xdr:rowOff>
    </xdr:to>
    <xdr:sp macro="" textlink="">
      <xdr:nvSpPr>
        <xdr:cNvPr id="21" name="Elipse 20">
          <a:extLst>
            <a:ext uri="{FF2B5EF4-FFF2-40B4-BE49-F238E27FC236}">
              <a16:creationId xmlns:a16="http://schemas.microsoft.com/office/drawing/2014/main" id="{F8D81981-070C-4A7B-B3A3-BEFF3E7D4100}"/>
            </a:ext>
          </a:extLst>
        </xdr:cNvPr>
        <xdr:cNvSpPr/>
      </xdr:nvSpPr>
      <xdr:spPr>
        <a:xfrm>
          <a:off x="2733675" y="1457324"/>
          <a:ext cx="85725" cy="95251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57150</xdr:colOff>
      <xdr:row>40</xdr:row>
      <xdr:rowOff>57150</xdr:rowOff>
    </xdr:from>
    <xdr:to>
      <xdr:col>6</xdr:col>
      <xdr:colOff>142875</xdr:colOff>
      <xdr:row>40</xdr:row>
      <xdr:rowOff>152401</xdr:rowOff>
    </xdr:to>
    <xdr:sp macro="" textlink="">
      <xdr:nvSpPr>
        <xdr:cNvPr id="22" name="Elipse 21">
          <a:extLst>
            <a:ext uri="{FF2B5EF4-FFF2-40B4-BE49-F238E27FC236}">
              <a16:creationId xmlns:a16="http://schemas.microsoft.com/office/drawing/2014/main" id="{5A0AED34-611B-4F9E-BE2C-625060D57ACB}"/>
            </a:ext>
          </a:extLst>
        </xdr:cNvPr>
        <xdr:cNvSpPr/>
      </xdr:nvSpPr>
      <xdr:spPr>
        <a:xfrm>
          <a:off x="2781300" y="2676525"/>
          <a:ext cx="85725" cy="95251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85725</xdr:colOff>
      <xdr:row>26</xdr:row>
      <xdr:rowOff>47625</xdr:rowOff>
    </xdr:from>
    <xdr:to>
      <xdr:col>16</xdr:col>
      <xdr:colOff>161925</xdr:colOff>
      <xdr:row>28</xdr:row>
      <xdr:rowOff>142875</xdr:rowOff>
    </xdr:to>
    <xdr:sp macro="" textlink="">
      <xdr:nvSpPr>
        <xdr:cNvPr id="23" name="Abrir llave 22">
          <a:extLst>
            <a:ext uri="{FF2B5EF4-FFF2-40B4-BE49-F238E27FC236}">
              <a16:creationId xmlns:a16="http://schemas.microsoft.com/office/drawing/2014/main" id="{60FCBBAD-49EC-45A8-88E2-4C2539D5E6D1}"/>
            </a:ext>
          </a:extLst>
        </xdr:cNvPr>
        <xdr:cNvSpPr/>
      </xdr:nvSpPr>
      <xdr:spPr>
        <a:xfrm>
          <a:off x="7305675" y="6915150"/>
          <a:ext cx="76200" cy="4476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47625</xdr:colOff>
      <xdr:row>30</xdr:row>
      <xdr:rowOff>28575</xdr:rowOff>
    </xdr:from>
    <xdr:to>
      <xdr:col>16</xdr:col>
      <xdr:colOff>123825</xdr:colOff>
      <xdr:row>32</xdr:row>
      <xdr:rowOff>152400</xdr:rowOff>
    </xdr:to>
    <xdr:sp macro="" textlink="">
      <xdr:nvSpPr>
        <xdr:cNvPr id="24" name="Abrir llave 23">
          <a:extLst>
            <a:ext uri="{FF2B5EF4-FFF2-40B4-BE49-F238E27FC236}">
              <a16:creationId xmlns:a16="http://schemas.microsoft.com/office/drawing/2014/main" id="{8FD1F820-E349-47BB-92FF-99B56D0458EB}"/>
            </a:ext>
          </a:extLst>
        </xdr:cNvPr>
        <xdr:cNvSpPr/>
      </xdr:nvSpPr>
      <xdr:spPr>
        <a:xfrm>
          <a:off x="7267575" y="7572375"/>
          <a:ext cx="76200" cy="4476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0</xdr:col>
      <xdr:colOff>137160</xdr:colOff>
      <xdr:row>2</xdr:row>
      <xdr:rowOff>22860</xdr:rowOff>
    </xdr:from>
    <xdr:to>
      <xdr:col>1</xdr:col>
      <xdr:colOff>53340</xdr:colOff>
      <xdr:row>3</xdr:row>
      <xdr:rowOff>167640</xdr:rowOff>
    </xdr:to>
    <xdr:sp macro="" textlink="">
      <xdr:nvSpPr>
        <xdr:cNvPr id="25" name="Rectángulo: esquinas redondeadas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72D563-6F9A-40DF-BF9D-3080FBA39F32}"/>
            </a:ext>
          </a:extLst>
        </xdr:cNvPr>
        <xdr:cNvSpPr/>
      </xdr:nvSpPr>
      <xdr:spPr>
        <a:xfrm>
          <a:off x="137160" y="449580"/>
          <a:ext cx="990600" cy="32004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425919</xdr:colOff>
      <xdr:row>1</xdr:row>
      <xdr:rowOff>125691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DEBACA02-40E8-4749-8066-46A595AE5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00339" cy="377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2</xdr:row>
      <xdr:rowOff>60960</xdr:rowOff>
    </xdr:from>
    <xdr:to>
      <xdr:col>0</xdr:col>
      <xdr:colOff>1127760</xdr:colOff>
      <xdr:row>4</xdr:row>
      <xdr:rowOff>0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76189F-B412-4C5D-9F96-7FFB5D30409B}"/>
            </a:ext>
          </a:extLst>
        </xdr:cNvPr>
        <xdr:cNvSpPr/>
      </xdr:nvSpPr>
      <xdr:spPr>
        <a:xfrm>
          <a:off x="137160" y="487680"/>
          <a:ext cx="990600" cy="27432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349719</xdr:colOff>
      <xdr:row>1</xdr:row>
      <xdr:rowOff>125691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C3EF032-8CC0-40F1-AB68-099A54DE9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00339" cy="37715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152400</xdr:rowOff>
    </xdr:from>
    <xdr:to>
      <xdr:col>5</xdr:col>
      <xdr:colOff>9525</xdr:colOff>
      <xdr:row>18</xdr:row>
      <xdr:rowOff>114300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00289EC-59B1-470B-96A8-F610EF21DAE6}"/>
            </a:ext>
          </a:extLst>
        </xdr:cNvPr>
        <xdr:cNvSpPr>
          <a:spLocks noChangeShapeType="1"/>
        </xdr:cNvSpPr>
      </xdr:nvSpPr>
      <xdr:spPr bwMode="auto">
        <a:xfrm flipV="1">
          <a:off x="66675" y="1447800"/>
          <a:ext cx="838200" cy="1095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18</xdr:row>
      <xdr:rowOff>104775</xdr:rowOff>
    </xdr:from>
    <xdr:to>
      <xdr:col>5</xdr:col>
      <xdr:colOff>9525</xdr:colOff>
      <xdr:row>28</xdr:row>
      <xdr:rowOff>133350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A87C95E-893D-42F9-B33C-05D7CA59EA98}"/>
            </a:ext>
          </a:extLst>
        </xdr:cNvPr>
        <xdr:cNvSpPr>
          <a:spLocks noChangeShapeType="1"/>
        </xdr:cNvSpPr>
      </xdr:nvSpPr>
      <xdr:spPr bwMode="auto">
        <a:xfrm>
          <a:off x="76200" y="2533650"/>
          <a:ext cx="828675" cy="1647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8</xdr:row>
      <xdr:rowOff>133350</xdr:rowOff>
    </xdr:from>
    <xdr:to>
      <xdr:col>7</xdr:col>
      <xdr:colOff>47625</xdr:colOff>
      <xdr:row>10</xdr:row>
      <xdr:rowOff>104775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F68974A6-F2AB-411B-987E-BD7E6AEC7F81}"/>
            </a:ext>
          </a:extLst>
        </xdr:cNvPr>
        <xdr:cNvSpPr>
          <a:spLocks noChangeShapeType="1"/>
        </xdr:cNvSpPr>
      </xdr:nvSpPr>
      <xdr:spPr bwMode="auto">
        <a:xfrm flipV="1">
          <a:off x="1171575" y="1104900"/>
          <a:ext cx="129540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285749</xdr:colOff>
      <xdr:row>10</xdr:row>
      <xdr:rowOff>95251</xdr:rowOff>
    </xdr:from>
    <xdr:to>
      <xdr:col>7</xdr:col>
      <xdr:colOff>209549</xdr:colOff>
      <xdr:row>18</xdr:row>
      <xdr:rowOff>85726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FC190856-43E9-466B-9CB3-35F29DA87E4C}"/>
            </a:ext>
          </a:extLst>
        </xdr:cNvPr>
        <xdr:cNvSpPr>
          <a:spLocks noChangeShapeType="1"/>
        </xdr:cNvSpPr>
      </xdr:nvSpPr>
      <xdr:spPr bwMode="auto">
        <a:xfrm>
          <a:off x="2381249" y="1390651"/>
          <a:ext cx="1095375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285750</xdr:colOff>
      <xdr:row>7</xdr:row>
      <xdr:rowOff>142875</xdr:rowOff>
    </xdr:from>
    <xdr:to>
      <xdr:col>9</xdr:col>
      <xdr:colOff>38100</xdr:colOff>
      <xdr:row>8</xdr:row>
      <xdr:rowOff>104775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CECE7EE0-F9D7-4AB6-9D35-51906150328C}"/>
            </a:ext>
          </a:extLst>
        </xdr:cNvPr>
        <xdr:cNvSpPr>
          <a:spLocks noChangeShapeType="1"/>
        </xdr:cNvSpPr>
      </xdr:nvSpPr>
      <xdr:spPr bwMode="auto">
        <a:xfrm flipV="1">
          <a:off x="2705100" y="952500"/>
          <a:ext cx="6381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285750</xdr:colOff>
      <xdr:row>8</xdr:row>
      <xdr:rowOff>114300</xdr:rowOff>
    </xdr:from>
    <xdr:to>
      <xdr:col>9</xdr:col>
      <xdr:colOff>19050</xdr:colOff>
      <xdr:row>12</xdr:row>
      <xdr:rowOff>152400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EEE42F22-5AB1-4299-A389-F9960D56504C}"/>
            </a:ext>
          </a:extLst>
        </xdr:cNvPr>
        <xdr:cNvSpPr>
          <a:spLocks noChangeShapeType="1"/>
        </xdr:cNvSpPr>
      </xdr:nvSpPr>
      <xdr:spPr bwMode="auto">
        <a:xfrm>
          <a:off x="2705100" y="1085850"/>
          <a:ext cx="6191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104775</xdr:colOff>
      <xdr:row>6</xdr:row>
      <xdr:rowOff>76200</xdr:rowOff>
    </xdr:from>
    <xdr:to>
      <xdr:col>12</xdr:col>
      <xdr:colOff>76200</xdr:colOff>
      <xdr:row>7</xdr:row>
      <xdr:rowOff>85725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6FA01911-4F44-4D05-B2A3-DD7F61CECB9C}"/>
            </a:ext>
          </a:extLst>
        </xdr:cNvPr>
        <xdr:cNvSpPr>
          <a:spLocks noChangeShapeType="1"/>
        </xdr:cNvSpPr>
      </xdr:nvSpPr>
      <xdr:spPr bwMode="auto">
        <a:xfrm flipV="1">
          <a:off x="4171950" y="723900"/>
          <a:ext cx="8477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9525</xdr:colOff>
      <xdr:row>10</xdr:row>
      <xdr:rowOff>104775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5DA6383E-9BA6-4755-BBC3-7F944F29FF72}"/>
            </a:ext>
          </a:extLst>
        </xdr:cNvPr>
        <xdr:cNvSpPr>
          <a:spLocks noChangeShapeType="1"/>
        </xdr:cNvSpPr>
      </xdr:nvSpPr>
      <xdr:spPr bwMode="auto">
        <a:xfrm>
          <a:off x="4181475" y="933450"/>
          <a:ext cx="7715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438150</xdr:colOff>
      <xdr:row>5</xdr:row>
      <xdr:rowOff>142875</xdr:rowOff>
    </xdr:from>
    <xdr:to>
      <xdr:col>14</xdr:col>
      <xdr:colOff>733425</xdr:colOff>
      <xdr:row>6</xdr:row>
      <xdr:rowOff>85725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4D7EFA3A-C107-4DE6-B4E9-42A007A85A6D}"/>
            </a:ext>
          </a:extLst>
        </xdr:cNvPr>
        <xdr:cNvSpPr>
          <a:spLocks noChangeShapeType="1"/>
        </xdr:cNvSpPr>
      </xdr:nvSpPr>
      <xdr:spPr bwMode="auto">
        <a:xfrm flipV="1">
          <a:off x="5381625" y="628650"/>
          <a:ext cx="10668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457200</xdr:colOff>
      <xdr:row>6</xdr:row>
      <xdr:rowOff>104775</xdr:rowOff>
    </xdr:from>
    <xdr:to>
      <xdr:col>15</xdr:col>
      <xdr:colOff>19050</xdr:colOff>
      <xdr:row>7</xdr:row>
      <xdr:rowOff>133350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779AAEE7-27FD-47A8-A82F-907FDC598325}"/>
            </a:ext>
          </a:extLst>
        </xdr:cNvPr>
        <xdr:cNvSpPr>
          <a:spLocks noChangeShapeType="1"/>
        </xdr:cNvSpPr>
      </xdr:nvSpPr>
      <xdr:spPr bwMode="auto">
        <a:xfrm>
          <a:off x="5372100" y="752475"/>
          <a:ext cx="82867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590552</xdr:colOff>
      <xdr:row>10</xdr:row>
      <xdr:rowOff>161924</xdr:rowOff>
    </xdr:from>
    <xdr:to>
      <xdr:col>15</xdr:col>
      <xdr:colOff>257176</xdr:colOff>
      <xdr:row>11</xdr:row>
      <xdr:rowOff>9525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A3DB9183-368A-43F9-AE6E-68A80D7F9F31}"/>
            </a:ext>
          </a:extLst>
        </xdr:cNvPr>
        <xdr:cNvSpPr>
          <a:spLocks noChangeShapeType="1"/>
        </xdr:cNvSpPr>
      </xdr:nvSpPr>
      <xdr:spPr bwMode="auto">
        <a:xfrm>
          <a:off x="5505452" y="1457324"/>
          <a:ext cx="733424" cy="95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438150</xdr:colOff>
      <xdr:row>17</xdr:row>
      <xdr:rowOff>85725</xdr:rowOff>
    </xdr:from>
    <xdr:to>
      <xdr:col>9</xdr:col>
      <xdr:colOff>19050</xdr:colOff>
      <xdr:row>18</xdr:row>
      <xdr:rowOff>104775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87A0A399-F40F-4893-AB57-EF636A23263B}"/>
            </a:ext>
          </a:extLst>
        </xdr:cNvPr>
        <xdr:cNvSpPr>
          <a:spLocks noChangeShapeType="1"/>
        </xdr:cNvSpPr>
      </xdr:nvSpPr>
      <xdr:spPr bwMode="auto">
        <a:xfrm flipV="1">
          <a:off x="2857500" y="2352675"/>
          <a:ext cx="4667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18</xdr:row>
      <xdr:rowOff>114300</xdr:rowOff>
    </xdr:from>
    <xdr:to>
      <xdr:col>9</xdr:col>
      <xdr:colOff>0</xdr:colOff>
      <xdr:row>24</xdr:row>
      <xdr:rowOff>95250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B3D8693E-FF29-441D-BB8C-1E7620AD1821}"/>
            </a:ext>
          </a:extLst>
        </xdr:cNvPr>
        <xdr:cNvSpPr>
          <a:spLocks noChangeShapeType="1"/>
        </xdr:cNvSpPr>
      </xdr:nvSpPr>
      <xdr:spPr bwMode="auto">
        <a:xfrm>
          <a:off x="2867025" y="2543175"/>
          <a:ext cx="438150" cy="952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16</xdr:row>
      <xdr:rowOff>85725</xdr:rowOff>
    </xdr:from>
    <xdr:to>
      <xdr:col>11</xdr:col>
      <xdr:colOff>752475</xdr:colOff>
      <xdr:row>17</xdr:row>
      <xdr:rowOff>114300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DDE13276-AEC5-46E7-8A4D-893E372005B6}"/>
            </a:ext>
          </a:extLst>
        </xdr:cNvPr>
        <xdr:cNvSpPr>
          <a:spLocks noChangeShapeType="1"/>
        </xdr:cNvSpPr>
      </xdr:nvSpPr>
      <xdr:spPr bwMode="auto">
        <a:xfrm flipV="1">
          <a:off x="4219575" y="2190750"/>
          <a:ext cx="71437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17</xdr:row>
      <xdr:rowOff>142875</xdr:rowOff>
    </xdr:from>
    <xdr:to>
      <xdr:col>12</xdr:col>
      <xdr:colOff>9525</xdr:colOff>
      <xdr:row>20</xdr:row>
      <xdr:rowOff>114300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60166EEF-FAA2-4B21-B5C2-3E76C8761E27}"/>
            </a:ext>
          </a:extLst>
        </xdr:cNvPr>
        <xdr:cNvSpPr>
          <a:spLocks noChangeShapeType="1"/>
        </xdr:cNvSpPr>
      </xdr:nvSpPr>
      <xdr:spPr bwMode="auto">
        <a:xfrm>
          <a:off x="4219575" y="2409825"/>
          <a:ext cx="7334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121920</xdr:rowOff>
    </xdr:from>
    <xdr:to>
      <xdr:col>15</xdr:col>
      <xdr:colOff>220980</xdr:colOff>
      <xdr:row>20</xdr:row>
      <xdr:rowOff>129540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22852FFB-02BF-4BA5-96E6-1928A3DE9ABA}"/>
            </a:ext>
          </a:extLst>
        </xdr:cNvPr>
        <xdr:cNvSpPr>
          <a:spLocks noChangeShapeType="1"/>
        </xdr:cNvSpPr>
      </xdr:nvSpPr>
      <xdr:spPr bwMode="auto">
        <a:xfrm flipV="1">
          <a:off x="7658100" y="3703320"/>
          <a:ext cx="86868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14</xdr:row>
      <xdr:rowOff>0</xdr:rowOff>
    </xdr:from>
    <xdr:to>
      <xdr:col>15</xdr:col>
      <xdr:colOff>285750</xdr:colOff>
      <xdr:row>14</xdr:row>
      <xdr:rowOff>19050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6B403C72-5BF0-40D4-9415-213553CDBC7C}"/>
            </a:ext>
          </a:extLst>
        </xdr:cNvPr>
        <xdr:cNvSpPr>
          <a:spLocks noChangeShapeType="1"/>
        </xdr:cNvSpPr>
      </xdr:nvSpPr>
      <xdr:spPr bwMode="auto">
        <a:xfrm>
          <a:off x="4352925" y="1943100"/>
          <a:ext cx="1914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19051</xdr:colOff>
      <xdr:row>25</xdr:row>
      <xdr:rowOff>142874</xdr:rowOff>
    </xdr:from>
    <xdr:to>
      <xdr:col>15</xdr:col>
      <xdr:colOff>333376</xdr:colOff>
      <xdr:row>25</xdr:row>
      <xdr:rowOff>152399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EA40FD8E-1EF9-4696-B626-3744DB018328}"/>
            </a:ext>
          </a:extLst>
        </xdr:cNvPr>
        <xdr:cNvSpPr>
          <a:spLocks noChangeShapeType="1"/>
        </xdr:cNvSpPr>
      </xdr:nvSpPr>
      <xdr:spPr bwMode="auto">
        <a:xfrm flipV="1">
          <a:off x="4333876" y="3867149"/>
          <a:ext cx="19812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266700</xdr:colOff>
      <xdr:row>15</xdr:row>
      <xdr:rowOff>104774</xdr:rowOff>
    </xdr:from>
    <xdr:to>
      <xdr:col>14</xdr:col>
      <xdr:colOff>752475</xdr:colOff>
      <xdr:row>16</xdr:row>
      <xdr:rowOff>85724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74D29261-7B50-4857-BE55-EEE994B1F014}"/>
            </a:ext>
          </a:extLst>
        </xdr:cNvPr>
        <xdr:cNvSpPr>
          <a:spLocks noChangeShapeType="1"/>
        </xdr:cNvSpPr>
      </xdr:nvSpPr>
      <xdr:spPr bwMode="auto">
        <a:xfrm flipV="1">
          <a:off x="5972175" y="2390774"/>
          <a:ext cx="125730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285750</xdr:colOff>
      <xdr:row>16</xdr:row>
      <xdr:rowOff>76199</xdr:rowOff>
    </xdr:from>
    <xdr:to>
      <xdr:col>15</xdr:col>
      <xdr:colOff>0</xdr:colOff>
      <xdr:row>17</xdr:row>
      <xdr:rowOff>142874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A52354F5-2C72-471B-8C3D-D2B35FDC116E}"/>
            </a:ext>
          </a:extLst>
        </xdr:cNvPr>
        <xdr:cNvSpPr>
          <a:spLocks noChangeShapeType="1"/>
        </xdr:cNvSpPr>
      </xdr:nvSpPr>
      <xdr:spPr bwMode="auto">
        <a:xfrm>
          <a:off x="5200650" y="2343149"/>
          <a:ext cx="9810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10</xdr:row>
      <xdr:rowOff>47625</xdr:rowOff>
    </xdr:from>
    <xdr:to>
      <xdr:col>5</xdr:col>
      <xdr:colOff>247650</xdr:colOff>
      <xdr:row>11</xdr:row>
      <xdr:rowOff>19049</xdr:rowOff>
    </xdr:to>
    <xdr:sp macro="" textlink="">
      <xdr:nvSpPr>
        <xdr:cNvPr id="38" name="Elipse 37">
          <a:extLst>
            <a:ext uri="{FF2B5EF4-FFF2-40B4-BE49-F238E27FC236}">
              <a16:creationId xmlns:a16="http://schemas.microsoft.com/office/drawing/2014/main" id="{7D5C4C5A-4FEC-4A19-9594-765EB7DB8116}"/>
            </a:ext>
          </a:extLst>
        </xdr:cNvPr>
        <xdr:cNvSpPr/>
      </xdr:nvSpPr>
      <xdr:spPr>
        <a:xfrm>
          <a:off x="1733550" y="1571625"/>
          <a:ext cx="171450" cy="161924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</xdr:col>
      <xdr:colOff>85725</xdr:colOff>
      <xdr:row>8</xdr:row>
      <xdr:rowOff>57150</xdr:rowOff>
    </xdr:from>
    <xdr:to>
      <xdr:col>7</xdr:col>
      <xdr:colOff>257175</xdr:colOff>
      <xdr:row>9</xdr:row>
      <xdr:rowOff>28574</xdr:rowOff>
    </xdr:to>
    <xdr:sp macro="" textlink="">
      <xdr:nvSpPr>
        <xdr:cNvPr id="39" name="Elipse 38">
          <a:extLst>
            <a:ext uri="{FF2B5EF4-FFF2-40B4-BE49-F238E27FC236}">
              <a16:creationId xmlns:a16="http://schemas.microsoft.com/office/drawing/2014/main" id="{1083A074-D7B2-44C6-A96B-92721E531D9C}"/>
            </a:ext>
          </a:extLst>
        </xdr:cNvPr>
        <xdr:cNvSpPr/>
      </xdr:nvSpPr>
      <xdr:spPr>
        <a:xfrm>
          <a:off x="3267075" y="1200150"/>
          <a:ext cx="171450" cy="161924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</xdr:col>
      <xdr:colOff>238125</xdr:colOff>
      <xdr:row>18</xdr:row>
      <xdr:rowOff>47625</xdr:rowOff>
    </xdr:from>
    <xdr:to>
      <xdr:col>7</xdr:col>
      <xdr:colOff>409575</xdr:colOff>
      <xdr:row>19</xdr:row>
      <xdr:rowOff>19049</xdr:rowOff>
    </xdr:to>
    <xdr:sp macro="" textlink="">
      <xdr:nvSpPr>
        <xdr:cNvPr id="40" name="Elipse 39">
          <a:extLst>
            <a:ext uri="{FF2B5EF4-FFF2-40B4-BE49-F238E27FC236}">
              <a16:creationId xmlns:a16="http://schemas.microsoft.com/office/drawing/2014/main" id="{35D5668C-B9AF-4904-93F1-A43233285D9D}"/>
            </a:ext>
          </a:extLst>
        </xdr:cNvPr>
        <xdr:cNvSpPr/>
      </xdr:nvSpPr>
      <xdr:spPr>
        <a:xfrm>
          <a:off x="3419475" y="2905125"/>
          <a:ext cx="171450" cy="161924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12</xdr:col>
      <xdr:colOff>247650</xdr:colOff>
      <xdr:row>6</xdr:row>
      <xdr:rowOff>19050</xdr:rowOff>
    </xdr:from>
    <xdr:to>
      <xdr:col>12</xdr:col>
      <xdr:colOff>419100</xdr:colOff>
      <xdr:row>6</xdr:row>
      <xdr:rowOff>180974</xdr:rowOff>
    </xdr:to>
    <xdr:sp macro="" textlink="">
      <xdr:nvSpPr>
        <xdr:cNvPr id="41" name="Elipse 40">
          <a:extLst>
            <a:ext uri="{FF2B5EF4-FFF2-40B4-BE49-F238E27FC236}">
              <a16:creationId xmlns:a16="http://schemas.microsoft.com/office/drawing/2014/main" id="{FED4D55D-DDE7-4328-B994-A9064D9E2C60}"/>
            </a:ext>
          </a:extLst>
        </xdr:cNvPr>
        <xdr:cNvSpPr/>
      </xdr:nvSpPr>
      <xdr:spPr>
        <a:xfrm>
          <a:off x="5953125" y="781050"/>
          <a:ext cx="171450" cy="161924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12</xdr:col>
      <xdr:colOff>142875</xdr:colOff>
      <xdr:row>16</xdr:row>
      <xdr:rowOff>19050</xdr:rowOff>
    </xdr:from>
    <xdr:to>
      <xdr:col>12</xdr:col>
      <xdr:colOff>314325</xdr:colOff>
      <xdr:row>16</xdr:row>
      <xdr:rowOff>180974</xdr:rowOff>
    </xdr:to>
    <xdr:sp macro="" textlink="">
      <xdr:nvSpPr>
        <xdr:cNvPr id="42" name="Elipse 41">
          <a:extLst>
            <a:ext uri="{FF2B5EF4-FFF2-40B4-BE49-F238E27FC236}">
              <a16:creationId xmlns:a16="http://schemas.microsoft.com/office/drawing/2014/main" id="{B0C2B706-4B40-404E-B745-6D6F623F9C97}"/>
            </a:ext>
          </a:extLst>
        </xdr:cNvPr>
        <xdr:cNvSpPr/>
      </xdr:nvSpPr>
      <xdr:spPr>
        <a:xfrm>
          <a:off x="5848350" y="2495550"/>
          <a:ext cx="171450" cy="161924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</xdr:col>
      <xdr:colOff>0</xdr:colOff>
      <xdr:row>40</xdr:row>
      <xdr:rowOff>152400</xdr:rowOff>
    </xdr:from>
    <xdr:to>
      <xdr:col>5</xdr:col>
      <xdr:colOff>9525</xdr:colOff>
      <xdr:row>48</xdr:row>
      <xdr:rowOff>114300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B401E8C1-A2A9-46B6-AE06-3754F14008DB}"/>
            </a:ext>
          </a:extLst>
        </xdr:cNvPr>
        <xdr:cNvSpPr>
          <a:spLocks noChangeShapeType="1"/>
        </xdr:cNvSpPr>
      </xdr:nvSpPr>
      <xdr:spPr bwMode="auto">
        <a:xfrm flipV="1">
          <a:off x="1266825" y="1676400"/>
          <a:ext cx="838200" cy="129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48</xdr:row>
      <xdr:rowOff>104775</xdr:rowOff>
    </xdr:from>
    <xdr:to>
      <xdr:col>5</xdr:col>
      <xdr:colOff>9525</xdr:colOff>
      <xdr:row>58</xdr:row>
      <xdr:rowOff>133350</xdr:rowOff>
    </xdr:to>
    <xdr:sp macro="" textlink="">
      <xdr:nvSpPr>
        <xdr:cNvPr id="44" name="Line 2">
          <a:extLst>
            <a:ext uri="{FF2B5EF4-FFF2-40B4-BE49-F238E27FC236}">
              <a16:creationId xmlns:a16="http://schemas.microsoft.com/office/drawing/2014/main" id="{B2C37A85-6804-40E2-813A-C4060E10245D}"/>
            </a:ext>
          </a:extLst>
        </xdr:cNvPr>
        <xdr:cNvSpPr>
          <a:spLocks noChangeShapeType="1"/>
        </xdr:cNvSpPr>
      </xdr:nvSpPr>
      <xdr:spPr bwMode="auto">
        <a:xfrm>
          <a:off x="1276350" y="2962275"/>
          <a:ext cx="828675" cy="1933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38</xdr:row>
      <xdr:rowOff>133350</xdr:rowOff>
    </xdr:from>
    <xdr:to>
      <xdr:col>7</xdr:col>
      <xdr:colOff>47625</xdr:colOff>
      <xdr:row>40</xdr:row>
      <xdr:rowOff>104775</xdr:rowOff>
    </xdr:to>
    <xdr:sp macro="" textlink="">
      <xdr:nvSpPr>
        <xdr:cNvPr id="45" name="Line 3">
          <a:extLst>
            <a:ext uri="{FF2B5EF4-FFF2-40B4-BE49-F238E27FC236}">
              <a16:creationId xmlns:a16="http://schemas.microsoft.com/office/drawing/2014/main" id="{38BB8E77-5817-47A5-82FB-C574DE606091}"/>
            </a:ext>
          </a:extLst>
        </xdr:cNvPr>
        <xdr:cNvSpPr>
          <a:spLocks noChangeShapeType="1"/>
        </xdr:cNvSpPr>
      </xdr:nvSpPr>
      <xdr:spPr bwMode="auto">
        <a:xfrm flipV="1">
          <a:off x="2371725" y="1276350"/>
          <a:ext cx="129540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285750</xdr:colOff>
      <xdr:row>40</xdr:row>
      <xdr:rowOff>95251</xdr:rowOff>
    </xdr:from>
    <xdr:to>
      <xdr:col>7</xdr:col>
      <xdr:colOff>200025</xdr:colOff>
      <xdr:row>48</xdr:row>
      <xdr:rowOff>85726</xdr:rowOff>
    </xdr:to>
    <xdr:sp macro="" textlink="">
      <xdr:nvSpPr>
        <xdr:cNvPr id="46" name="Line 4">
          <a:extLst>
            <a:ext uri="{FF2B5EF4-FFF2-40B4-BE49-F238E27FC236}">
              <a16:creationId xmlns:a16="http://schemas.microsoft.com/office/drawing/2014/main" id="{D95E4BDB-EB22-4B6E-A553-CFF4E6A938FB}"/>
            </a:ext>
          </a:extLst>
        </xdr:cNvPr>
        <xdr:cNvSpPr>
          <a:spLocks noChangeShapeType="1"/>
        </xdr:cNvSpPr>
      </xdr:nvSpPr>
      <xdr:spPr bwMode="auto">
        <a:xfrm>
          <a:off x="2381250" y="6086476"/>
          <a:ext cx="1085850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285750</xdr:colOff>
      <xdr:row>37</xdr:row>
      <xdr:rowOff>142875</xdr:rowOff>
    </xdr:from>
    <xdr:to>
      <xdr:col>9</xdr:col>
      <xdr:colOff>38100</xdr:colOff>
      <xdr:row>38</xdr:row>
      <xdr:rowOff>104775</xdr:rowOff>
    </xdr:to>
    <xdr:sp macro="" textlink="">
      <xdr:nvSpPr>
        <xdr:cNvPr id="47" name="Line 5">
          <a:extLst>
            <a:ext uri="{FF2B5EF4-FFF2-40B4-BE49-F238E27FC236}">
              <a16:creationId xmlns:a16="http://schemas.microsoft.com/office/drawing/2014/main" id="{E047EF8B-025B-443A-9983-046AFB38E44F}"/>
            </a:ext>
          </a:extLst>
        </xdr:cNvPr>
        <xdr:cNvSpPr>
          <a:spLocks noChangeShapeType="1"/>
        </xdr:cNvSpPr>
      </xdr:nvSpPr>
      <xdr:spPr bwMode="auto">
        <a:xfrm flipV="1">
          <a:off x="3905250" y="1095375"/>
          <a:ext cx="63817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285750</xdr:colOff>
      <xdr:row>38</xdr:row>
      <xdr:rowOff>114300</xdr:rowOff>
    </xdr:from>
    <xdr:to>
      <xdr:col>9</xdr:col>
      <xdr:colOff>19050</xdr:colOff>
      <xdr:row>42</xdr:row>
      <xdr:rowOff>152400</xdr:rowOff>
    </xdr:to>
    <xdr:sp macro="" textlink="">
      <xdr:nvSpPr>
        <xdr:cNvPr id="48" name="Line 6">
          <a:extLst>
            <a:ext uri="{FF2B5EF4-FFF2-40B4-BE49-F238E27FC236}">
              <a16:creationId xmlns:a16="http://schemas.microsoft.com/office/drawing/2014/main" id="{C2289F60-D216-4B99-A22A-4FE285446EF8}"/>
            </a:ext>
          </a:extLst>
        </xdr:cNvPr>
        <xdr:cNvSpPr>
          <a:spLocks noChangeShapeType="1"/>
        </xdr:cNvSpPr>
      </xdr:nvSpPr>
      <xdr:spPr bwMode="auto">
        <a:xfrm>
          <a:off x="3905250" y="1257300"/>
          <a:ext cx="619125" cy="800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104775</xdr:colOff>
      <xdr:row>36</xdr:row>
      <xdr:rowOff>76200</xdr:rowOff>
    </xdr:from>
    <xdr:to>
      <xdr:col>12</xdr:col>
      <xdr:colOff>76200</xdr:colOff>
      <xdr:row>37</xdr:row>
      <xdr:rowOff>85725</xdr:rowOff>
    </xdr:to>
    <xdr:sp macro="" textlink="">
      <xdr:nvSpPr>
        <xdr:cNvPr id="49" name="Line 7">
          <a:extLst>
            <a:ext uri="{FF2B5EF4-FFF2-40B4-BE49-F238E27FC236}">
              <a16:creationId xmlns:a16="http://schemas.microsoft.com/office/drawing/2014/main" id="{BA5EAA93-EF2A-4762-810D-2ED743718FCE}"/>
            </a:ext>
          </a:extLst>
        </xdr:cNvPr>
        <xdr:cNvSpPr>
          <a:spLocks noChangeShapeType="1"/>
        </xdr:cNvSpPr>
      </xdr:nvSpPr>
      <xdr:spPr bwMode="auto">
        <a:xfrm flipV="1">
          <a:off x="5372100" y="838200"/>
          <a:ext cx="847725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37</xdr:row>
      <xdr:rowOff>123825</xdr:rowOff>
    </xdr:from>
    <xdr:to>
      <xdr:col>12</xdr:col>
      <xdr:colOff>9525</xdr:colOff>
      <xdr:row>40</xdr:row>
      <xdr:rowOff>104775</xdr:rowOff>
    </xdr:to>
    <xdr:sp macro="" textlink="">
      <xdr:nvSpPr>
        <xdr:cNvPr id="50" name="Line 8">
          <a:extLst>
            <a:ext uri="{FF2B5EF4-FFF2-40B4-BE49-F238E27FC236}">
              <a16:creationId xmlns:a16="http://schemas.microsoft.com/office/drawing/2014/main" id="{6A9D4436-F1B0-41FA-A1DE-168A50485EC0}"/>
            </a:ext>
          </a:extLst>
        </xdr:cNvPr>
        <xdr:cNvSpPr>
          <a:spLocks noChangeShapeType="1"/>
        </xdr:cNvSpPr>
      </xdr:nvSpPr>
      <xdr:spPr bwMode="auto">
        <a:xfrm>
          <a:off x="5381625" y="1076325"/>
          <a:ext cx="7715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438150</xdr:colOff>
      <xdr:row>35</xdr:row>
      <xdr:rowOff>142875</xdr:rowOff>
    </xdr:from>
    <xdr:to>
      <xdr:col>14</xdr:col>
      <xdr:colOff>733425</xdr:colOff>
      <xdr:row>36</xdr:row>
      <xdr:rowOff>85725</xdr:rowOff>
    </xdr:to>
    <xdr:sp macro="" textlink="">
      <xdr:nvSpPr>
        <xdr:cNvPr id="51" name="Line 9">
          <a:extLst>
            <a:ext uri="{FF2B5EF4-FFF2-40B4-BE49-F238E27FC236}">
              <a16:creationId xmlns:a16="http://schemas.microsoft.com/office/drawing/2014/main" id="{C7A6E9A3-7DE6-4AC8-A0DE-AF29DC06BD8B}"/>
            </a:ext>
          </a:extLst>
        </xdr:cNvPr>
        <xdr:cNvSpPr>
          <a:spLocks noChangeShapeType="1"/>
        </xdr:cNvSpPr>
      </xdr:nvSpPr>
      <xdr:spPr bwMode="auto">
        <a:xfrm flipV="1">
          <a:off x="6581775" y="714375"/>
          <a:ext cx="10668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457200</xdr:colOff>
      <xdr:row>36</xdr:row>
      <xdr:rowOff>104775</xdr:rowOff>
    </xdr:from>
    <xdr:to>
      <xdr:col>15</xdr:col>
      <xdr:colOff>19050</xdr:colOff>
      <xdr:row>37</xdr:row>
      <xdr:rowOff>133350</xdr:rowOff>
    </xdr:to>
    <xdr:sp macro="" textlink="">
      <xdr:nvSpPr>
        <xdr:cNvPr id="52" name="Line 10">
          <a:extLst>
            <a:ext uri="{FF2B5EF4-FFF2-40B4-BE49-F238E27FC236}">
              <a16:creationId xmlns:a16="http://schemas.microsoft.com/office/drawing/2014/main" id="{D9CBF4D6-47FB-47FB-98A8-0DB7F056D367}"/>
            </a:ext>
          </a:extLst>
        </xdr:cNvPr>
        <xdr:cNvSpPr>
          <a:spLocks noChangeShapeType="1"/>
        </xdr:cNvSpPr>
      </xdr:nvSpPr>
      <xdr:spPr bwMode="auto">
        <a:xfrm>
          <a:off x="6600825" y="866775"/>
          <a:ext cx="10953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590551</xdr:colOff>
      <xdr:row>40</xdr:row>
      <xdr:rowOff>152400</xdr:rowOff>
    </xdr:from>
    <xdr:to>
      <xdr:col>15</xdr:col>
      <xdr:colOff>247650</xdr:colOff>
      <xdr:row>40</xdr:row>
      <xdr:rowOff>161924</xdr:rowOff>
    </xdr:to>
    <xdr:sp macro="" textlink="">
      <xdr:nvSpPr>
        <xdr:cNvPr id="53" name="Line 11">
          <a:extLst>
            <a:ext uri="{FF2B5EF4-FFF2-40B4-BE49-F238E27FC236}">
              <a16:creationId xmlns:a16="http://schemas.microsoft.com/office/drawing/2014/main" id="{D0AB3342-B731-4F3A-9CA1-4EECAC47D206}"/>
            </a:ext>
          </a:extLst>
        </xdr:cNvPr>
        <xdr:cNvSpPr>
          <a:spLocks noChangeShapeType="1"/>
        </xdr:cNvSpPr>
      </xdr:nvSpPr>
      <xdr:spPr bwMode="auto">
        <a:xfrm flipV="1">
          <a:off x="5505451" y="6305550"/>
          <a:ext cx="723899" cy="95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438150</xdr:colOff>
      <xdr:row>47</xdr:row>
      <xdr:rowOff>85725</xdr:rowOff>
    </xdr:from>
    <xdr:to>
      <xdr:col>9</xdr:col>
      <xdr:colOff>19050</xdr:colOff>
      <xdr:row>48</xdr:row>
      <xdr:rowOff>104775</xdr:rowOff>
    </xdr:to>
    <xdr:sp macro="" textlink="">
      <xdr:nvSpPr>
        <xdr:cNvPr id="54" name="Line 12">
          <a:extLst>
            <a:ext uri="{FF2B5EF4-FFF2-40B4-BE49-F238E27FC236}">
              <a16:creationId xmlns:a16="http://schemas.microsoft.com/office/drawing/2014/main" id="{A5597F17-0AC3-4AEF-A5B9-B98D809346A0}"/>
            </a:ext>
          </a:extLst>
        </xdr:cNvPr>
        <xdr:cNvSpPr>
          <a:spLocks noChangeShapeType="1"/>
        </xdr:cNvSpPr>
      </xdr:nvSpPr>
      <xdr:spPr bwMode="auto">
        <a:xfrm flipV="1">
          <a:off x="4057650" y="2752725"/>
          <a:ext cx="46672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48</xdr:row>
      <xdr:rowOff>114300</xdr:rowOff>
    </xdr:from>
    <xdr:to>
      <xdr:col>9</xdr:col>
      <xdr:colOff>0</xdr:colOff>
      <xdr:row>54</xdr:row>
      <xdr:rowOff>95250</xdr:rowOff>
    </xdr:to>
    <xdr:sp macro="" textlink="">
      <xdr:nvSpPr>
        <xdr:cNvPr id="55" name="Line 13">
          <a:extLst>
            <a:ext uri="{FF2B5EF4-FFF2-40B4-BE49-F238E27FC236}">
              <a16:creationId xmlns:a16="http://schemas.microsoft.com/office/drawing/2014/main" id="{E011D2ED-B234-47E1-9775-1A02B4CD06C0}"/>
            </a:ext>
          </a:extLst>
        </xdr:cNvPr>
        <xdr:cNvSpPr>
          <a:spLocks noChangeShapeType="1"/>
        </xdr:cNvSpPr>
      </xdr:nvSpPr>
      <xdr:spPr bwMode="auto">
        <a:xfrm>
          <a:off x="4067175" y="2971800"/>
          <a:ext cx="438150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46</xdr:row>
      <xdr:rowOff>85725</xdr:rowOff>
    </xdr:from>
    <xdr:to>
      <xdr:col>11</xdr:col>
      <xdr:colOff>752475</xdr:colOff>
      <xdr:row>47</xdr:row>
      <xdr:rowOff>114300</xdr:rowOff>
    </xdr:to>
    <xdr:sp macro="" textlink="">
      <xdr:nvSpPr>
        <xdr:cNvPr id="56" name="Line 14">
          <a:extLst>
            <a:ext uri="{FF2B5EF4-FFF2-40B4-BE49-F238E27FC236}">
              <a16:creationId xmlns:a16="http://schemas.microsoft.com/office/drawing/2014/main" id="{6DA07AE6-904E-4C62-9A2D-B18DB4D832CB}"/>
            </a:ext>
          </a:extLst>
        </xdr:cNvPr>
        <xdr:cNvSpPr>
          <a:spLocks noChangeShapeType="1"/>
        </xdr:cNvSpPr>
      </xdr:nvSpPr>
      <xdr:spPr bwMode="auto">
        <a:xfrm flipV="1">
          <a:off x="5419725" y="2562225"/>
          <a:ext cx="7143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47</xdr:row>
      <xdr:rowOff>142875</xdr:rowOff>
    </xdr:from>
    <xdr:to>
      <xdr:col>12</xdr:col>
      <xdr:colOff>9525</xdr:colOff>
      <xdr:row>50</xdr:row>
      <xdr:rowOff>114300</xdr:rowOff>
    </xdr:to>
    <xdr:sp macro="" textlink="">
      <xdr:nvSpPr>
        <xdr:cNvPr id="57" name="Line 15">
          <a:extLst>
            <a:ext uri="{FF2B5EF4-FFF2-40B4-BE49-F238E27FC236}">
              <a16:creationId xmlns:a16="http://schemas.microsoft.com/office/drawing/2014/main" id="{EEE5E88D-11AD-413C-99B5-4DDC0A805104}"/>
            </a:ext>
          </a:extLst>
        </xdr:cNvPr>
        <xdr:cNvSpPr>
          <a:spLocks noChangeShapeType="1"/>
        </xdr:cNvSpPr>
      </xdr:nvSpPr>
      <xdr:spPr bwMode="auto">
        <a:xfrm>
          <a:off x="5419725" y="2809875"/>
          <a:ext cx="7334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22860</xdr:colOff>
      <xdr:row>50</xdr:row>
      <xdr:rowOff>106680</xdr:rowOff>
    </xdr:from>
    <xdr:to>
      <xdr:col>15</xdr:col>
      <xdr:colOff>99060</xdr:colOff>
      <xdr:row>50</xdr:row>
      <xdr:rowOff>114300</xdr:rowOff>
    </xdr:to>
    <xdr:sp macro="" textlink="">
      <xdr:nvSpPr>
        <xdr:cNvPr id="58" name="Line 16">
          <a:extLst>
            <a:ext uri="{FF2B5EF4-FFF2-40B4-BE49-F238E27FC236}">
              <a16:creationId xmlns:a16="http://schemas.microsoft.com/office/drawing/2014/main" id="{5638B0F4-7F61-4DEF-9212-CEB9153B719D}"/>
            </a:ext>
          </a:extLst>
        </xdr:cNvPr>
        <xdr:cNvSpPr>
          <a:spLocks noChangeShapeType="1"/>
        </xdr:cNvSpPr>
      </xdr:nvSpPr>
      <xdr:spPr bwMode="auto">
        <a:xfrm>
          <a:off x="8503920" y="8945880"/>
          <a:ext cx="72390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43</xdr:row>
      <xdr:rowOff>171450</xdr:rowOff>
    </xdr:from>
    <xdr:to>
      <xdr:col>15</xdr:col>
      <xdr:colOff>419100</xdr:colOff>
      <xdr:row>44</xdr:row>
      <xdr:rowOff>0</xdr:rowOff>
    </xdr:to>
    <xdr:sp macro="" textlink="">
      <xdr:nvSpPr>
        <xdr:cNvPr id="59" name="Line 17">
          <a:extLst>
            <a:ext uri="{FF2B5EF4-FFF2-40B4-BE49-F238E27FC236}">
              <a16:creationId xmlns:a16="http://schemas.microsoft.com/office/drawing/2014/main" id="{5A04A5C6-208D-42E5-A225-82B1DED31BE4}"/>
            </a:ext>
          </a:extLst>
        </xdr:cNvPr>
        <xdr:cNvSpPr>
          <a:spLocks noChangeShapeType="1"/>
        </xdr:cNvSpPr>
      </xdr:nvSpPr>
      <xdr:spPr bwMode="auto">
        <a:xfrm flipV="1">
          <a:off x="5305425" y="2266950"/>
          <a:ext cx="27908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55</xdr:row>
      <xdr:rowOff>152399</xdr:rowOff>
    </xdr:from>
    <xdr:to>
      <xdr:col>15</xdr:col>
      <xdr:colOff>361950</xdr:colOff>
      <xdr:row>55</xdr:row>
      <xdr:rowOff>152399</xdr:rowOff>
    </xdr:to>
    <xdr:sp macro="" textlink="">
      <xdr:nvSpPr>
        <xdr:cNvPr id="60" name="Line 18">
          <a:extLst>
            <a:ext uri="{FF2B5EF4-FFF2-40B4-BE49-F238E27FC236}">
              <a16:creationId xmlns:a16="http://schemas.microsoft.com/office/drawing/2014/main" id="{0D1DB2C1-83DE-4894-AD87-69FFAAFF85FF}"/>
            </a:ext>
          </a:extLst>
        </xdr:cNvPr>
        <xdr:cNvSpPr>
          <a:spLocks noChangeShapeType="1"/>
        </xdr:cNvSpPr>
      </xdr:nvSpPr>
      <xdr:spPr bwMode="auto">
        <a:xfrm flipV="1">
          <a:off x="4333875" y="8734424"/>
          <a:ext cx="2009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266700</xdr:colOff>
      <xdr:row>45</xdr:row>
      <xdr:rowOff>104774</xdr:rowOff>
    </xdr:from>
    <xdr:to>
      <xdr:col>14</xdr:col>
      <xdr:colOff>752475</xdr:colOff>
      <xdr:row>46</xdr:row>
      <xdr:rowOff>85724</xdr:rowOff>
    </xdr:to>
    <xdr:sp macro="" textlink="">
      <xdr:nvSpPr>
        <xdr:cNvPr id="61" name="Line 19">
          <a:extLst>
            <a:ext uri="{FF2B5EF4-FFF2-40B4-BE49-F238E27FC236}">
              <a16:creationId xmlns:a16="http://schemas.microsoft.com/office/drawing/2014/main" id="{6D008D56-ADFC-45D4-A1D9-EE1CB398A354}"/>
            </a:ext>
          </a:extLst>
        </xdr:cNvPr>
        <xdr:cNvSpPr>
          <a:spLocks noChangeShapeType="1"/>
        </xdr:cNvSpPr>
      </xdr:nvSpPr>
      <xdr:spPr bwMode="auto">
        <a:xfrm flipV="1">
          <a:off x="6410325" y="2390774"/>
          <a:ext cx="125730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304800</xdr:colOff>
      <xdr:row>46</xdr:row>
      <xdr:rowOff>76199</xdr:rowOff>
    </xdr:from>
    <xdr:to>
      <xdr:col>15</xdr:col>
      <xdr:colOff>19050</xdr:colOff>
      <xdr:row>47</xdr:row>
      <xdr:rowOff>142874</xdr:rowOff>
    </xdr:to>
    <xdr:sp macro="" textlink="">
      <xdr:nvSpPr>
        <xdr:cNvPr id="62" name="Line 20">
          <a:extLst>
            <a:ext uri="{FF2B5EF4-FFF2-40B4-BE49-F238E27FC236}">
              <a16:creationId xmlns:a16="http://schemas.microsoft.com/office/drawing/2014/main" id="{DE185208-7D5D-4DE5-ADC8-33D334E0701C}"/>
            </a:ext>
          </a:extLst>
        </xdr:cNvPr>
        <xdr:cNvSpPr>
          <a:spLocks noChangeShapeType="1"/>
        </xdr:cNvSpPr>
      </xdr:nvSpPr>
      <xdr:spPr bwMode="auto">
        <a:xfrm>
          <a:off x="5219700" y="7524749"/>
          <a:ext cx="9810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40</xdr:row>
      <xdr:rowOff>47625</xdr:rowOff>
    </xdr:from>
    <xdr:to>
      <xdr:col>5</xdr:col>
      <xdr:colOff>247650</xdr:colOff>
      <xdr:row>41</xdr:row>
      <xdr:rowOff>19049</xdr:rowOff>
    </xdr:to>
    <xdr:sp macro="" textlink="">
      <xdr:nvSpPr>
        <xdr:cNvPr id="63" name="Elipse 62">
          <a:extLst>
            <a:ext uri="{FF2B5EF4-FFF2-40B4-BE49-F238E27FC236}">
              <a16:creationId xmlns:a16="http://schemas.microsoft.com/office/drawing/2014/main" id="{B7CDC123-2B7B-4D0B-B09E-DD0D0A65CFDD}"/>
            </a:ext>
          </a:extLst>
        </xdr:cNvPr>
        <xdr:cNvSpPr/>
      </xdr:nvSpPr>
      <xdr:spPr>
        <a:xfrm>
          <a:off x="2171700" y="1571625"/>
          <a:ext cx="171450" cy="161924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</xdr:col>
      <xdr:colOff>85725</xdr:colOff>
      <xdr:row>38</xdr:row>
      <xdr:rowOff>57150</xdr:rowOff>
    </xdr:from>
    <xdr:to>
      <xdr:col>7</xdr:col>
      <xdr:colOff>257175</xdr:colOff>
      <xdr:row>39</xdr:row>
      <xdr:rowOff>28574</xdr:rowOff>
    </xdr:to>
    <xdr:sp macro="" textlink="">
      <xdr:nvSpPr>
        <xdr:cNvPr id="64" name="Elipse 63">
          <a:extLst>
            <a:ext uri="{FF2B5EF4-FFF2-40B4-BE49-F238E27FC236}">
              <a16:creationId xmlns:a16="http://schemas.microsoft.com/office/drawing/2014/main" id="{6E925041-FE49-48A4-AE0B-4E6BF151C0C1}"/>
            </a:ext>
          </a:extLst>
        </xdr:cNvPr>
        <xdr:cNvSpPr/>
      </xdr:nvSpPr>
      <xdr:spPr>
        <a:xfrm>
          <a:off x="3705225" y="1200150"/>
          <a:ext cx="171450" cy="161924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</xdr:col>
      <xdr:colOff>238125</xdr:colOff>
      <xdr:row>48</xdr:row>
      <xdr:rowOff>47625</xdr:rowOff>
    </xdr:from>
    <xdr:to>
      <xdr:col>7</xdr:col>
      <xdr:colOff>409575</xdr:colOff>
      <xdr:row>49</xdr:row>
      <xdr:rowOff>19049</xdr:rowOff>
    </xdr:to>
    <xdr:sp macro="" textlink="">
      <xdr:nvSpPr>
        <xdr:cNvPr id="65" name="Elipse 64">
          <a:extLst>
            <a:ext uri="{FF2B5EF4-FFF2-40B4-BE49-F238E27FC236}">
              <a16:creationId xmlns:a16="http://schemas.microsoft.com/office/drawing/2014/main" id="{6CCB738B-5286-4A85-8E83-B94B324190A7}"/>
            </a:ext>
          </a:extLst>
        </xdr:cNvPr>
        <xdr:cNvSpPr/>
      </xdr:nvSpPr>
      <xdr:spPr>
        <a:xfrm>
          <a:off x="3857625" y="2905125"/>
          <a:ext cx="171450" cy="161924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12</xdr:col>
      <xdr:colOff>247650</xdr:colOff>
      <xdr:row>36</xdr:row>
      <xdr:rowOff>19050</xdr:rowOff>
    </xdr:from>
    <xdr:to>
      <xdr:col>12</xdr:col>
      <xdr:colOff>419100</xdr:colOff>
      <xdr:row>36</xdr:row>
      <xdr:rowOff>180974</xdr:rowOff>
    </xdr:to>
    <xdr:sp macro="" textlink="">
      <xdr:nvSpPr>
        <xdr:cNvPr id="66" name="Elipse 65">
          <a:extLst>
            <a:ext uri="{FF2B5EF4-FFF2-40B4-BE49-F238E27FC236}">
              <a16:creationId xmlns:a16="http://schemas.microsoft.com/office/drawing/2014/main" id="{63E8C9C6-1186-4878-A372-030F1127CA5D}"/>
            </a:ext>
          </a:extLst>
        </xdr:cNvPr>
        <xdr:cNvSpPr/>
      </xdr:nvSpPr>
      <xdr:spPr>
        <a:xfrm>
          <a:off x="6391275" y="781050"/>
          <a:ext cx="171450" cy="161924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12</xdr:col>
      <xdr:colOff>142875</xdr:colOff>
      <xdr:row>46</xdr:row>
      <xdr:rowOff>19050</xdr:rowOff>
    </xdr:from>
    <xdr:to>
      <xdr:col>12</xdr:col>
      <xdr:colOff>314325</xdr:colOff>
      <xdr:row>46</xdr:row>
      <xdr:rowOff>180974</xdr:rowOff>
    </xdr:to>
    <xdr:sp macro="" textlink="">
      <xdr:nvSpPr>
        <xdr:cNvPr id="67" name="Elipse 66">
          <a:extLst>
            <a:ext uri="{FF2B5EF4-FFF2-40B4-BE49-F238E27FC236}">
              <a16:creationId xmlns:a16="http://schemas.microsoft.com/office/drawing/2014/main" id="{35D9DA4E-C523-4691-86D8-4E8923282394}"/>
            </a:ext>
          </a:extLst>
        </xdr:cNvPr>
        <xdr:cNvSpPr/>
      </xdr:nvSpPr>
      <xdr:spPr>
        <a:xfrm>
          <a:off x="6286500" y="2495550"/>
          <a:ext cx="171450" cy="161924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19</xdr:col>
      <xdr:colOff>819150</xdr:colOff>
      <xdr:row>34</xdr:row>
      <xdr:rowOff>47625</xdr:rowOff>
    </xdr:from>
    <xdr:to>
      <xdr:col>20</xdr:col>
      <xdr:colOff>28575</xdr:colOff>
      <xdr:row>36</xdr:row>
      <xdr:rowOff>142875</xdr:rowOff>
    </xdr:to>
    <xdr:sp macro="" textlink="">
      <xdr:nvSpPr>
        <xdr:cNvPr id="68" name="Abrir llave 67">
          <a:extLst>
            <a:ext uri="{FF2B5EF4-FFF2-40B4-BE49-F238E27FC236}">
              <a16:creationId xmlns:a16="http://schemas.microsoft.com/office/drawing/2014/main" id="{FFAF8DAD-D7D2-4FE6-A34C-15609D31B3B5}"/>
            </a:ext>
          </a:extLst>
        </xdr:cNvPr>
        <xdr:cNvSpPr/>
      </xdr:nvSpPr>
      <xdr:spPr>
        <a:xfrm>
          <a:off x="11344275" y="6362700"/>
          <a:ext cx="76200" cy="4191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19</xdr:col>
      <xdr:colOff>819150</xdr:colOff>
      <xdr:row>38</xdr:row>
      <xdr:rowOff>47625</xdr:rowOff>
    </xdr:from>
    <xdr:to>
      <xdr:col>20</xdr:col>
      <xdr:colOff>28575</xdr:colOff>
      <xdr:row>40</xdr:row>
      <xdr:rowOff>142875</xdr:rowOff>
    </xdr:to>
    <xdr:sp macro="" textlink="">
      <xdr:nvSpPr>
        <xdr:cNvPr id="70" name="Abrir llave 69">
          <a:extLst>
            <a:ext uri="{FF2B5EF4-FFF2-40B4-BE49-F238E27FC236}">
              <a16:creationId xmlns:a16="http://schemas.microsoft.com/office/drawing/2014/main" id="{9E9F8E37-5603-414B-8C4A-AAED6CB28F72}"/>
            </a:ext>
          </a:extLst>
        </xdr:cNvPr>
        <xdr:cNvSpPr/>
      </xdr:nvSpPr>
      <xdr:spPr>
        <a:xfrm>
          <a:off x="11344275" y="6362700"/>
          <a:ext cx="76200" cy="4191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0</xdr:col>
      <xdr:colOff>137160</xdr:colOff>
      <xdr:row>2</xdr:row>
      <xdr:rowOff>38100</xdr:rowOff>
    </xdr:from>
    <xdr:to>
      <xdr:col>0</xdr:col>
      <xdr:colOff>1127760</xdr:colOff>
      <xdr:row>4</xdr:row>
      <xdr:rowOff>7620</xdr:rowOff>
    </xdr:to>
    <xdr:sp macro="" textlink="">
      <xdr:nvSpPr>
        <xdr:cNvPr id="69" name="Rectángulo: esquinas redondeadas 6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1B128E-DBB7-4A53-9F0A-BD1DC5FD464A}"/>
            </a:ext>
          </a:extLst>
        </xdr:cNvPr>
        <xdr:cNvSpPr/>
      </xdr:nvSpPr>
      <xdr:spPr>
        <a:xfrm>
          <a:off x="137160" y="457200"/>
          <a:ext cx="990600" cy="30480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15240</xdr:rowOff>
    </xdr:from>
    <xdr:to>
      <xdr:col>0</xdr:col>
      <xdr:colOff>1500339</xdr:colOff>
      <xdr:row>1</xdr:row>
      <xdr:rowOff>140931</xdr:rowOff>
    </xdr:to>
    <xdr:pic>
      <xdr:nvPicPr>
        <xdr:cNvPr id="72" name="Imagen 71">
          <a:extLst>
            <a:ext uri="{FF2B5EF4-FFF2-40B4-BE49-F238E27FC236}">
              <a16:creationId xmlns:a16="http://schemas.microsoft.com/office/drawing/2014/main" id="{AD7DEB32-95D6-4B0E-BB1A-7F14E8F87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240"/>
          <a:ext cx="1500339" cy="37715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14</xdr:row>
      <xdr:rowOff>95250</xdr:rowOff>
    </xdr:from>
    <xdr:to>
      <xdr:col>7</xdr:col>
      <xdr:colOff>19050</xdr:colOff>
      <xdr:row>19</xdr:row>
      <xdr:rowOff>95250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E74EAE9-EF59-4E50-BFBB-49EBFBCEE9C4}"/>
            </a:ext>
          </a:extLst>
        </xdr:cNvPr>
        <xdr:cNvSpPr>
          <a:spLocks noChangeShapeType="1"/>
        </xdr:cNvSpPr>
      </xdr:nvSpPr>
      <xdr:spPr bwMode="auto">
        <a:xfrm flipV="1">
          <a:off x="3038475" y="2371725"/>
          <a:ext cx="1171575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19049</xdr:colOff>
      <xdr:row>19</xdr:row>
      <xdr:rowOff>133350</xdr:rowOff>
    </xdr:from>
    <xdr:to>
      <xdr:col>7</xdr:col>
      <xdr:colOff>38099</xdr:colOff>
      <xdr:row>26</xdr:row>
      <xdr:rowOff>76200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82F8E3A-0FF0-46DB-8B7F-B1FA31DF8246}"/>
            </a:ext>
          </a:extLst>
        </xdr:cNvPr>
        <xdr:cNvSpPr>
          <a:spLocks noChangeShapeType="1"/>
        </xdr:cNvSpPr>
      </xdr:nvSpPr>
      <xdr:spPr bwMode="auto">
        <a:xfrm>
          <a:off x="3038474" y="3219450"/>
          <a:ext cx="1190625" cy="1076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219075</xdr:colOff>
      <xdr:row>10</xdr:row>
      <xdr:rowOff>152399</xdr:rowOff>
    </xdr:from>
    <xdr:to>
      <xdr:col>8</xdr:col>
      <xdr:colOff>1057275</xdr:colOff>
      <xdr:row>14</xdr:row>
      <xdr:rowOff>114299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85683A7B-117F-4F0C-86A2-E2C693201BDA}"/>
            </a:ext>
          </a:extLst>
        </xdr:cNvPr>
        <xdr:cNvSpPr>
          <a:spLocks noChangeShapeType="1"/>
        </xdr:cNvSpPr>
      </xdr:nvSpPr>
      <xdr:spPr bwMode="auto">
        <a:xfrm flipV="1">
          <a:off x="4410075" y="1781174"/>
          <a:ext cx="160020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219075</xdr:colOff>
      <xdr:row>14</xdr:row>
      <xdr:rowOff>85724</xdr:rowOff>
    </xdr:from>
    <xdr:to>
      <xdr:col>9</xdr:col>
      <xdr:colOff>9525</xdr:colOff>
      <xdr:row>14</xdr:row>
      <xdr:rowOff>123824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C32B056A-9D04-483A-9A48-04FFBD20C38B}"/>
            </a:ext>
          </a:extLst>
        </xdr:cNvPr>
        <xdr:cNvSpPr>
          <a:spLocks noChangeShapeType="1"/>
        </xdr:cNvSpPr>
      </xdr:nvSpPr>
      <xdr:spPr bwMode="auto">
        <a:xfrm flipV="1">
          <a:off x="4410075" y="2362199"/>
          <a:ext cx="1628775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228599</xdr:colOff>
      <xdr:row>14</xdr:row>
      <xdr:rowOff>142874</xdr:rowOff>
    </xdr:from>
    <xdr:to>
      <xdr:col>9</xdr:col>
      <xdr:colOff>19049</xdr:colOff>
      <xdr:row>18</xdr:row>
      <xdr:rowOff>114299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6FDC516D-FEBD-4DC8-876D-2E87B7895302}"/>
            </a:ext>
          </a:extLst>
        </xdr:cNvPr>
        <xdr:cNvSpPr>
          <a:spLocks noChangeShapeType="1"/>
        </xdr:cNvSpPr>
      </xdr:nvSpPr>
      <xdr:spPr bwMode="auto">
        <a:xfrm>
          <a:off x="4419599" y="2419349"/>
          <a:ext cx="1628775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209551</xdr:colOff>
      <xdr:row>22</xdr:row>
      <xdr:rowOff>152399</xdr:rowOff>
    </xdr:from>
    <xdr:to>
      <xdr:col>9</xdr:col>
      <xdr:colOff>1</xdr:colOff>
      <xdr:row>26</xdr:row>
      <xdr:rowOff>104774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7513F4F1-3A12-4A3C-A564-5000CA711CF0}"/>
            </a:ext>
          </a:extLst>
        </xdr:cNvPr>
        <xdr:cNvSpPr>
          <a:spLocks noChangeShapeType="1"/>
        </xdr:cNvSpPr>
      </xdr:nvSpPr>
      <xdr:spPr bwMode="auto">
        <a:xfrm flipV="1">
          <a:off x="4400551" y="3724274"/>
          <a:ext cx="1295400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228600</xdr:colOff>
      <xdr:row>26</xdr:row>
      <xdr:rowOff>85724</xdr:rowOff>
    </xdr:from>
    <xdr:to>
      <xdr:col>9</xdr:col>
      <xdr:colOff>9525</xdr:colOff>
      <xdr:row>26</xdr:row>
      <xdr:rowOff>104774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8C17121D-C02D-45B7-B5BE-7D3412825262}"/>
            </a:ext>
          </a:extLst>
        </xdr:cNvPr>
        <xdr:cNvSpPr>
          <a:spLocks noChangeShapeType="1"/>
        </xdr:cNvSpPr>
      </xdr:nvSpPr>
      <xdr:spPr bwMode="auto">
        <a:xfrm flipV="1">
          <a:off x="4419600" y="4305299"/>
          <a:ext cx="128587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161925</xdr:colOff>
      <xdr:row>26</xdr:row>
      <xdr:rowOff>95249</xdr:rowOff>
    </xdr:from>
    <xdr:to>
      <xdr:col>8</xdr:col>
      <xdr:colOff>714375</xdr:colOff>
      <xdr:row>30</xdr:row>
      <xdr:rowOff>9524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E0F9976E-3F2B-4EE0-9E4B-170357261FEA}"/>
            </a:ext>
          </a:extLst>
        </xdr:cNvPr>
        <xdr:cNvSpPr>
          <a:spLocks noChangeShapeType="1"/>
        </xdr:cNvSpPr>
      </xdr:nvSpPr>
      <xdr:spPr bwMode="auto">
        <a:xfrm>
          <a:off x="4352925" y="4314824"/>
          <a:ext cx="131445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14</xdr:row>
      <xdr:rowOff>57150</xdr:rowOff>
    </xdr:from>
    <xdr:to>
      <xdr:col>7</xdr:col>
      <xdr:colOff>209550</xdr:colOff>
      <xdr:row>15</xdr:row>
      <xdr:rowOff>28574</xdr:rowOff>
    </xdr:to>
    <xdr:sp macro="" textlink="">
      <xdr:nvSpPr>
        <xdr:cNvPr id="11" name="Elipse 10">
          <a:extLst>
            <a:ext uri="{FF2B5EF4-FFF2-40B4-BE49-F238E27FC236}">
              <a16:creationId xmlns:a16="http://schemas.microsoft.com/office/drawing/2014/main" id="{FDF2F05B-1965-44EC-8A0C-12C2EF74655C}"/>
            </a:ext>
          </a:extLst>
        </xdr:cNvPr>
        <xdr:cNvSpPr/>
      </xdr:nvSpPr>
      <xdr:spPr>
        <a:xfrm>
          <a:off x="4229100" y="2333625"/>
          <a:ext cx="171450" cy="133349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</xdr:col>
      <xdr:colOff>38100</xdr:colOff>
      <xdr:row>26</xdr:row>
      <xdr:rowOff>57150</xdr:rowOff>
    </xdr:from>
    <xdr:to>
      <xdr:col>7</xdr:col>
      <xdr:colOff>209550</xdr:colOff>
      <xdr:row>27</xdr:row>
      <xdr:rowOff>28574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D03EA704-F96D-4D48-870F-00AD5C61C8E9}"/>
            </a:ext>
          </a:extLst>
        </xdr:cNvPr>
        <xdr:cNvSpPr/>
      </xdr:nvSpPr>
      <xdr:spPr>
        <a:xfrm>
          <a:off x="4229100" y="4276725"/>
          <a:ext cx="171450" cy="133349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0</xdr:col>
      <xdr:colOff>152400</xdr:colOff>
      <xdr:row>2</xdr:row>
      <xdr:rowOff>15240</xdr:rowOff>
    </xdr:from>
    <xdr:to>
      <xdr:col>0</xdr:col>
      <xdr:colOff>1143000</xdr:colOff>
      <xdr:row>3</xdr:row>
      <xdr:rowOff>144780</xdr:rowOff>
    </xdr:to>
    <xdr:sp macro="" textlink="">
      <xdr:nvSpPr>
        <xdr:cNvPr id="13" name="Rectángulo: esquinas redondeadas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DEE910-CB66-4F1D-8956-214DEDE61EE6}"/>
            </a:ext>
          </a:extLst>
        </xdr:cNvPr>
        <xdr:cNvSpPr/>
      </xdr:nvSpPr>
      <xdr:spPr>
        <a:xfrm>
          <a:off x="152400" y="441960"/>
          <a:ext cx="990600" cy="30480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15240</xdr:colOff>
      <xdr:row>0</xdr:row>
      <xdr:rowOff>0</xdr:rowOff>
    </xdr:from>
    <xdr:to>
      <xdr:col>1</xdr:col>
      <xdr:colOff>364959</xdr:colOff>
      <xdr:row>1</xdr:row>
      <xdr:rowOff>125691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32CBA01D-6D07-4BF4-8186-8000D761E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" y="0"/>
          <a:ext cx="1500339" cy="37715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152400</xdr:rowOff>
    </xdr:from>
    <xdr:to>
      <xdr:col>5</xdr:col>
      <xdr:colOff>906780</xdr:colOff>
      <xdr:row>19</xdr:row>
      <xdr:rowOff>85726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2D557916-A713-47C2-A9A6-F22DC1178BAE}"/>
            </a:ext>
          </a:extLst>
        </xdr:cNvPr>
        <xdr:cNvCxnSpPr/>
      </xdr:nvCxnSpPr>
      <xdr:spPr>
        <a:xfrm flipV="1">
          <a:off x="3421380" y="2506980"/>
          <a:ext cx="906780" cy="9848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19</xdr:row>
      <xdr:rowOff>123826</xdr:rowOff>
    </xdr:from>
    <xdr:to>
      <xdr:col>6</xdr:col>
      <xdr:colOff>7620</xdr:colOff>
      <xdr:row>24</xdr:row>
      <xdr:rowOff>91440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9DF88FC-C78A-4C23-9752-9716A34F8199}"/>
            </a:ext>
          </a:extLst>
        </xdr:cNvPr>
        <xdr:cNvCxnSpPr/>
      </xdr:nvCxnSpPr>
      <xdr:spPr>
        <a:xfrm>
          <a:off x="3421380" y="3529966"/>
          <a:ext cx="922020" cy="84391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95250</xdr:rowOff>
    </xdr:from>
    <xdr:to>
      <xdr:col>8</xdr:col>
      <xdr:colOff>9525</xdr:colOff>
      <xdr:row>13</xdr:row>
      <xdr:rowOff>95250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88694EFB-8A1B-4324-A736-3A91E9571281}"/>
            </a:ext>
          </a:extLst>
        </xdr:cNvPr>
        <xdr:cNvCxnSpPr/>
      </xdr:nvCxnSpPr>
      <xdr:spPr>
        <a:xfrm>
          <a:off x="11620500" y="4305300"/>
          <a:ext cx="76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152400</xdr:rowOff>
    </xdr:from>
    <xdr:to>
      <xdr:col>10</xdr:col>
      <xdr:colOff>0</xdr:colOff>
      <xdr:row>13</xdr:row>
      <xdr:rowOff>85726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25928605-6F4A-4D8D-AB32-BE5565C4E64B}"/>
            </a:ext>
          </a:extLst>
        </xdr:cNvPr>
        <xdr:cNvCxnSpPr/>
      </xdr:nvCxnSpPr>
      <xdr:spPr>
        <a:xfrm flipV="1">
          <a:off x="5044440" y="1409700"/>
          <a:ext cx="883920" cy="9391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85726</xdr:rowOff>
    </xdr:from>
    <xdr:to>
      <xdr:col>10</xdr:col>
      <xdr:colOff>0</xdr:colOff>
      <xdr:row>19</xdr:row>
      <xdr:rowOff>104775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6E6C3529-2745-4298-BFB4-4B18F524500C}"/>
            </a:ext>
          </a:extLst>
        </xdr:cNvPr>
        <xdr:cNvCxnSpPr/>
      </xdr:nvCxnSpPr>
      <xdr:spPr>
        <a:xfrm>
          <a:off x="13134975" y="4295776"/>
          <a:ext cx="762000" cy="9905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3</xdr:row>
      <xdr:rowOff>47625</xdr:rowOff>
    </xdr:from>
    <xdr:to>
      <xdr:col>12</xdr:col>
      <xdr:colOff>0</xdr:colOff>
      <xdr:row>7</xdr:row>
      <xdr:rowOff>66675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ACA66DCA-B640-42E3-AC3A-41F5FBD6782C}"/>
            </a:ext>
          </a:extLst>
        </xdr:cNvPr>
        <xdr:cNvCxnSpPr/>
      </xdr:nvCxnSpPr>
      <xdr:spPr>
        <a:xfrm flipV="1">
          <a:off x="14668500" y="2638425"/>
          <a:ext cx="752475" cy="666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19</xdr:row>
      <xdr:rowOff>57150</xdr:rowOff>
    </xdr:from>
    <xdr:to>
      <xdr:col>12</xdr:col>
      <xdr:colOff>0</xdr:colOff>
      <xdr:row>23</xdr:row>
      <xdr:rowOff>95250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1881CA90-7C57-42E5-8380-0E00B850F09A}"/>
            </a:ext>
          </a:extLst>
        </xdr:cNvPr>
        <xdr:cNvCxnSpPr/>
      </xdr:nvCxnSpPr>
      <xdr:spPr>
        <a:xfrm>
          <a:off x="14678025" y="5238750"/>
          <a:ext cx="742950" cy="685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9525</xdr:colOff>
      <xdr:row>13</xdr:row>
      <xdr:rowOff>133349</xdr:rowOff>
    </xdr:to>
    <xdr:sp macro="" textlink="">
      <xdr:nvSpPr>
        <xdr:cNvPr id="23" name="Elipse 22">
          <a:extLst>
            <a:ext uri="{FF2B5EF4-FFF2-40B4-BE49-F238E27FC236}">
              <a16:creationId xmlns:a16="http://schemas.microsoft.com/office/drawing/2014/main" id="{3D193555-3D66-471C-8520-079D714CC796}"/>
            </a:ext>
          </a:extLst>
        </xdr:cNvPr>
        <xdr:cNvSpPr/>
      </xdr:nvSpPr>
      <xdr:spPr>
        <a:xfrm>
          <a:off x="11144250" y="4210050"/>
          <a:ext cx="171450" cy="133349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</xdr:col>
      <xdr:colOff>0</xdr:colOff>
      <xdr:row>24</xdr:row>
      <xdr:rowOff>85725</xdr:rowOff>
    </xdr:from>
    <xdr:to>
      <xdr:col>8</xdr:col>
      <xdr:colOff>19050</xdr:colOff>
      <xdr:row>24</xdr:row>
      <xdr:rowOff>85726</xdr:rowOff>
    </xdr:to>
    <xdr:cxnSp macro="">
      <xdr:nvCxnSpPr>
        <xdr:cNvPr id="25" name="Conector recto 24">
          <a:extLst>
            <a:ext uri="{FF2B5EF4-FFF2-40B4-BE49-F238E27FC236}">
              <a16:creationId xmlns:a16="http://schemas.microsoft.com/office/drawing/2014/main" id="{C6625F6D-AF5B-4C3D-B6F7-CD06706920DF}"/>
            </a:ext>
          </a:extLst>
        </xdr:cNvPr>
        <xdr:cNvCxnSpPr/>
      </xdr:nvCxnSpPr>
      <xdr:spPr>
        <a:xfrm flipV="1">
          <a:off x="10382250" y="6076950"/>
          <a:ext cx="7810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104776</xdr:colOff>
      <xdr:row>19</xdr:row>
      <xdr:rowOff>47625</xdr:rowOff>
    </xdr:from>
    <xdr:to>
      <xdr:col>5</xdr:col>
      <xdr:colOff>1</xdr:colOff>
      <xdr:row>19</xdr:row>
      <xdr:rowOff>161924</xdr:rowOff>
    </xdr:to>
    <xdr:sp macro="" textlink="">
      <xdr:nvSpPr>
        <xdr:cNvPr id="15" name="Elipse 14">
          <a:extLst>
            <a:ext uri="{FF2B5EF4-FFF2-40B4-BE49-F238E27FC236}">
              <a16:creationId xmlns:a16="http://schemas.microsoft.com/office/drawing/2014/main" id="{B5AA5627-5AB3-4CC6-8721-E6E003A5D29D}"/>
            </a:ext>
          </a:extLst>
        </xdr:cNvPr>
        <xdr:cNvSpPr/>
      </xdr:nvSpPr>
      <xdr:spPr>
        <a:xfrm>
          <a:off x="1590676" y="2962275"/>
          <a:ext cx="95250" cy="114299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171450</xdr:colOff>
      <xdr:row>19</xdr:row>
      <xdr:rowOff>132872</xdr:rowOff>
    </xdr:from>
    <xdr:to>
      <xdr:col>4</xdr:col>
      <xdr:colOff>144749</xdr:colOff>
      <xdr:row>26</xdr:row>
      <xdr:rowOff>76200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F71BD7D-33FA-459F-A8B0-1ABF2D9D6891}"/>
            </a:ext>
          </a:extLst>
        </xdr:cNvPr>
        <xdr:cNvCxnSpPr/>
      </xdr:nvCxnSpPr>
      <xdr:spPr>
        <a:xfrm flipV="1">
          <a:off x="933450" y="3047522"/>
          <a:ext cx="697199" cy="10768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26</xdr:row>
      <xdr:rowOff>85725</xdr:rowOff>
    </xdr:from>
    <xdr:to>
      <xdr:col>4</xdr:col>
      <xdr:colOff>0</xdr:colOff>
      <xdr:row>31</xdr:row>
      <xdr:rowOff>76200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42AB932F-CD50-4BB4-B3B7-F773E1872B4E}"/>
            </a:ext>
          </a:extLst>
        </xdr:cNvPr>
        <xdr:cNvCxnSpPr/>
      </xdr:nvCxnSpPr>
      <xdr:spPr>
        <a:xfrm>
          <a:off x="933450" y="4133850"/>
          <a:ext cx="552450" cy="800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137160</xdr:colOff>
      <xdr:row>2</xdr:row>
      <xdr:rowOff>22860</xdr:rowOff>
    </xdr:from>
    <xdr:to>
      <xdr:col>0</xdr:col>
      <xdr:colOff>1127760</xdr:colOff>
      <xdr:row>3</xdr:row>
      <xdr:rowOff>152400</xdr:rowOff>
    </xdr:to>
    <xdr:sp macro="" textlink="">
      <xdr:nvSpPr>
        <xdr:cNvPr id="16" name="Rectángulo: esquinas redondeadas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179B80-D601-4046-BD50-A018DECB1DC6}"/>
            </a:ext>
          </a:extLst>
        </xdr:cNvPr>
        <xdr:cNvSpPr/>
      </xdr:nvSpPr>
      <xdr:spPr>
        <a:xfrm>
          <a:off x="137160" y="441960"/>
          <a:ext cx="990600" cy="29718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0</xdr:col>
      <xdr:colOff>1500339</xdr:colOff>
      <xdr:row>1</xdr:row>
      <xdr:rowOff>133311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45917BB6-8925-476C-8865-4483B6D9A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620"/>
          <a:ext cx="1500339" cy="37715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45720</xdr:rowOff>
    </xdr:from>
    <xdr:to>
      <xdr:col>0</xdr:col>
      <xdr:colOff>1143000</xdr:colOff>
      <xdr:row>3</xdr:row>
      <xdr:rowOff>167640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A32A6B-82C3-411F-A22F-BACFFF88CCA7}"/>
            </a:ext>
          </a:extLst>
        </xdr:cNvPr>
        <xdr:cNvSpPr/>
      </xdr:nvSpPr>
      <xdr:spPr>
        <a:xfrm>
          <a:off x="152400" y="472440"/>
          <a:ext cx="990600" cy="29718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15240</xdr:colOff>
      <xdr:row>0</xdr:row>
      <xdr:rowOff>38100</xdr:rowOff>
    </xdr:from>
    <xdr:to>
      <xdr:col>0</xdr:col>
      <xdr:colOff>1515579</xdr:colOff>
      <xdr:row>1</xdr:row>
      <xdr:rowOff>163791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CE8CA8C-EE74-4CCD-B323-C960142A5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" y="38100"/>
          <a:ext cx="1500339" cy="3771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</xdr:colOff>
      <xdr:row>8</xdr:row>
      <xdr:rowOff>42862</xdr:rowOff>
    </xdr:from>
    <xdr:ext cx="8572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39ADFA75-4904-4FAC-B8C9-84C489FD53B5}"/>
                </a:ext>
              </a:extLst>
            </xdr:cNvPr>
            <xdr:cNvSpPr txBox="1"/>
          </xdr:nvSpPr>
          <xdr:spPr>
            <a:xfrm>
              <a:off x="1704975" y="1738312"/>
              <a:ext cx="8572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𝑔</m:t>
                        </m:r>
                      </m:e>
                    </m:acc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39ADFA75-4904-4FAC-B8C9-84C489FD53B5}"/>
                </a:ext>
              </a:extLst>
            </xdr:cNvPr>
            <xdr:cNvSpPr txBox="1"/>
          </xdr:nvSpPr>
          <xdr:spPr>
            <a:xfrm>
              <a:off x="1704975" y="1738312"/>
              <a:ext cx="8572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𝑔 ̂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38100</xdr:colOff>
      <xdr:row>11</xdr:row>
      <xdr:rowOff>0</xdr:rowOff>
    </xdr:from>
    <xdr:ext cx="120610" cy="2381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447040A-5EB9-4F8B-A598-4AF5C298D87C}"/>
                </a:ext>
              </a:extLst>
            </xdr:cNvPr>
            <xdr:cNvSpPr txBox="1"/>
          </xdr:nvSpPr>
          <xdr:spPr>
            <a:xfrm>
              <a:off x="1685925" y="2238375"/>
              <a:ext cx="120610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𝑔</m:t>
                        </m:r>
                      </m:e>
                    </m:acc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447040A-5EB9-4F8B-A598-4AF5C298D87C}"/>
                </a:ext>
              </a:extLst>
            </xdr:cNvPr>
            <xdr:cNvSpPr txBox="1"/>
          </xdr:nvSpPr>
          <xdr:spPr>
            <a:xfrm>
              <a:off x="1685925" y="2238375"/>
              <a:ext cx="120610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𝑔 ̂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</xdr:col>
      <xdr:colOff>38100</xdr:colOff>
      <xdr:row>83</xdr:row>
      <xdr:rowOff>0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ED85668-D2C6-4118-A6DC-67FC32452F39}"/>
            </a:ext>
          </a:extLst>
        </xdr:cNvPr>
        <xdr:cNvSpPr txBox="1"/>
      </xdr:nvSpPr>
      <xdr:spPr>
        <a:xfrm>
          <a:off x="800100" y="2009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2</xdr:col>
      <xdr:colOff>38100</xdr:colOff>
      <xdr:row>83</xdr:row>
      <xdr:rowOff>0</xdr:rowOff>
    </xdr:from>
    <xdr:ext cx="65" cy="17222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1A5608BF-B243-4671-B288-0093D1399379}"/>
            </a:ext>
          </a:extLst>
        </xdr:cNvPr>
        <xdr:cNvSpPr txBox="1"/>
      </xdr:nvSpPr>
      <xdr:spPr>
        <a:xfrm>
          <a:off x="800100" y="2009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PE" sz="1100"/>
        </a:p>
      </xdr:txBody>
    </xdr:sp>
    <xdr:clientData/>
  </xdr:oneCellAnchor>
  <xdr:twoCellAnchor>
    <xdr:from>
      <xdr:col>0</xdr:col>
      <xdr:colOff>137160</xdr:colOff>
      <xdr:row>2</xdr:row>
      <xdr:rowOff>68580</xdr:rowOff>
    </xdr:from>
    <xdr:to>
      <xdr:col>0</xdr:col>
      <xdr:colOff>1127760</xdr:colOff>
      <xdr:row>4</xdr:row>
      <xdr:rowOff>30480</xdr:rowOff>
    </xdr:to>
    <xdr:sp macro="" textlink="">
      <xdr:nvSpPr>
        <xdr:cNvPr id="11" name="Rectángulo: esquinas redondeadas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CCC029-4AFE-4150-A355-454289C03E99}"/>
            </a:ext>
          </a:extLst>
        </xdr:cNvPr>
        <xdr:cNvSpPr/>
      </xdr:nvSpPr>
      <xdr:spPr>
        <a:xfrm>
          <a:off x="137160" y="495300"/>
          <a:ext cx="990600" cy="29718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174459</xdr:colOff>
      <xdr:row>1</xdr:row>
      <xdr:rowOff>133311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7BD59870-AA4E-4528-A0CA-55BD07D82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620"/>
          <a:ext cx="1500339" cy="3771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68580</xdr:rowOff>
    </xdr:from>
    <xdr:to>
      <xdr:col>1</xdr:col>
      <xdr:colOff>53340</xdr:colOff>
      <xdr:row>4</xdr:row>
      <xdr:rowOff>30480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227F93-32BF-4A5D-9BC6-2D8B9839ACC7}"/>
            </a:ext>
          </a:extLst>
        </xdr:cNvPr>
        <xdr:cNvSpPr/>
      </xdr:nvSpPr>
      <xdr:spPr>
        <a:xfrm>
          <a:off x="152400" y="495300"/>
          <a:ext cx="990600" cy="32004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15240</xdr:colOff>
      <xdr:row>0</xdr:row>
      <xdr:rowOff>7620</xdr:rowOff>
    </xdr:from>
    <xdr:to>
      <xdr:col>1</xdr:col>
      <xdr:colOff>425919</xdr:colOff>
      <xdr:row>1</xdr:row>
      <xdr:rowOff>133311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FC524E-01AD-4588-9A57-BF71A10E9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" y="7620"/>
          <a:ext cx="1500339" cy="3771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2</xdr:row>
      <xdr:rowOff>68580</xdr:rowOff>
    </xdr:from>
    <xdr:to>
      <xdr:col>0</xdr:col>
      <xdr:colOff>1127760</xdr:colOff>
      <xdr:row>4</xdr:row>
      <xdr:rowOff>53340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9067C1-1253-485A-9C41-37C40855F707}"/>
            </a:ext>
          </a:extLst>
        </xdr:cNvPr>
        <xdr:cNvSpPr/>
      </xdr:nvSpPr>
      <xdr:spPr>
        <a:xfrm>
          <a:off x="137160" y="495300"/>
          <a:ext cx="990600" cy="32004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250659</xdr:colOff>
      <xdr:row>1</xdr:row>
      <xdr:rowOff>133311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0B1275-1234-4ECD-9605-E18765706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620"/>
          <a:ext cx="1500339" cy="3771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84</xdr:row>
      <xdr:rowOff>0</xdr:rowOff>
    </xdr:from>
    <xdr:to>
      <xdr:col>5</xdr:col>
      <xdr:colOff>47625</xdr:colOff>
      <xdr:row>92</xdr:row>
      <xdr:rowOff>19050</xdr:rowOff>
    </xdr:to>
    <xdr:sp macro="" textlink="">
      <xdr:nvSpPr>
        <xdr:cNvPr id="11" name="Freeform 5">
          <a:extLst>
            <a:ext uri="{FF2B5EF4-FFF2-40B4-BE49-F238E27FC236}">
              <a16:creationId xmlns:a16="http://schemas.microsoft.com/office/drawing/2014/main" id="{9DB35499-DA7A-480F-8736-6B0A1CFAE2D9}"/>
            </a:ext>
          </a:extLst>
        </xdr:cNvPr>
        <xdr:cNvSpPr>
          <a:spLocks/>
        </xdr:cNvSpPr>
      </xdr:nvSpPr>
      <xdr:spPr bwMode="auto">
        <a:xfrm>
          <a:off x="1057275" y="266700"/>
          <a:ext cx="2295525" cy="1533525"/>
        </a:xfrm>
        <a:custGeom>
          <a:avLst/>
          <a:gdLst>
            <a:gd name="T0" fmla="*/ 0 w 2222"/>
            <a:gd name="T1" fmla="*/ 1501937 h 1505"/>
            <a:gd name="T2" fmla="*/ 1077512 w 2222"/>
            <a:gd name="T3" fmla="*/ 1317507 h 1505"/>
            <a:gd name="T4" fmla="*/ 2062046 w 2222"/>
            <a:gd name="T5" fmla="*/ 207867 h 1505"/>
            <a:gd name="T6" fmla="*/ 2295525 w 2222"/>
            <a:gd name="T7" fmla="*/ 69289 h 1505"/>
            <a:gd name="T8" fmla="*/ 0 60000 65536"/>
            <a:gd name="T9" fmla="*/ 0 60000 65536"/>
            <a:gd name="T10" fmla="*/ 0 60000 65536"/>
            <a:gd name="T11" fmla="*/ 0 60000 65536"/>
            <a:gd name="T12" fmla="*/ 0 w 2222"/>
            <a:gd name="T13" fmla="*/ 0 h 1505"/>
            <a:gd name="T14" fmla="*/ 2222 w 2222"/>
            <a:gd name="T15" fmla="*/ 1505 h 150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22" h="1505">
              <a:moveTo>
                <a:pt x="0" y="1474"/>
              </a:moveTo>
              <a:cubicBezTo>
                <a:pt x="355" y="1489"/>
                <a:pt x="710" y="1505"/>
                <a:pt x="1043" y="1293"/>
              </a:cubicBezTo>
              <a:cubicBezTo>
                <a:pt x="1376" y="1081"/>
                <a:pt x="1799" y="408"/>
                <a:pt x="1996" y="204"/>
              </a:cubicBezTo>
              <a:cubicBezTo>
                <a:pt x="2193" y="0"/>
                <a:pt x="2185" y="91"/>
                <a:pt x="2222" y="6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84</xdr:row>
      <xdr:rowOff>0</xdr:rowOff>
    </xdr:from>
    <xdr:to>
      <xdr:col>8</xdr:col>
      <xdr:colOff>0</xdr:colOff>
      <xdr:row>92</xdr:row>
      <xdr:rowOff>28575</xdr:rowOff>
    </xdr:to>
    <xdr:sp macro="" textlink="">
      <xdr:nvSpPr>
        <xdr:cNvPr id="12" name="Freeform 6">
          <a:extLst>
            <a:ext uri="{FF2B5EF4-FFF2-40B4-BE49-F238E27FC236}">
              <a16:creationId xmlns:a16="http://schemas.microsoft.com/office/drawing/2014/main" id="{A0ACB033-4753-46B2-A0FA-71A1BDC16707}"/>
            </a:ext>
          </a:extLst>
        </xdr:cNvPr>
        <xdr:cNvSpPr>
          <a:spLocks/>
        </xdr:cNvSpPr>
      </xdr:nvSpPr>
      <xdr:spPr bwMode="auto">
        <a:xfrm flipH="1">
          <a:off x="3305175" y="276225"/>
          <a:ext cx="2286000" cy="1533525"/>
        </a:xfrm>
        <a:custGeom>
          <a:avLst/>
          <a:gdLst>
            <a:gd name="T0" fmla="*/ 0 w 2222"/>
            <a:gd name="T1" fmla="*/ 1501937 h 1505"/>
            <a:gd name="T2" fmla="*/ 1073041 w 2222"/>
            <a:gd name="T3" fmla="*/ 1317507 h 1505"/>
            <a:gd name="T4" fmla="*/ 2053490 w 2222"/>
            <a:gd name="T5" fmla="*/ 207867 h 1505"/>
            <a:gd name="T6" fmla="*/ 2286000 w 2222"/>
            <a:gd name="T7" fmla="*/ 69289 h 1505"/>
            <a:gd name="T8" fmla="*/ 0 60000 65536"/>
            <a:gd name="T9" fmla="*/ 0 60000 65536"/>
            <a:gd name="T10" fmla="*/ 0 60000 65536"/>
            <a:gd name="T11" fmla="*/ 0 60000 65536"/>
            <a:gd name="T12" fmla="*/ 0 w 2222"/>
            <a:gd name="T13" fmla="*/ 0 h 1505"/>
            <a:gd name="T14" fmla="*/ 2222 w 2222"/>
            <a:gd name="T15" fmla="*/ 1505 h 150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22" h="1505">
              <a:moveTo>
                <a:pt x="0" y="1474"/>
              </a:moveTo>
              <a:cubicBezTo>
                <a:pt x="355" y="1489"/>
                <a:pt x="710" y="1505"/>
                <a:pt x="1043" y="1293"/>
              </a:cubicBezTo>
              <a:cubicBezTo>
                <a:pt x="1376" y="1081"/>
                <a:pt x="1799" y="408"/>
                <a:pt x="1996" y="204"/>
              </a:cubicBezTo>
              <a:cubicBezTo>
                <a:pt x="2193" y="0"/>
                <a:pt x="2185" y="91"/>
                <a:pt x="2222" y="6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84</xdr:row>
      <xdr:rowOff>0</xdr:rowOff>
    </xdr:from>
    <xdr:to>
      <xdr:col>5</xdr:col>
      <xdr:colOff>19050</xdr:colOff>
      <xdr:row>92</xdr:row>
      <xdr:rowOff>171450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B1DE17DB-3449-4BC3-B0DF-F259B44E8257}"/>
            </a:ext>
          </a:extLst>
        </xdr:cNvPr>
        <xdr:cNvSpPr>
          <a:spLocks noChangeShapeType="1"/>
        </xdr:cNvSpPr>
      </xdr:nvSpPr>
      <xdr:spPr bwMode="auto">
        <a:xfrm flipV="1">
          <a:off x="3314700" y="352425"/>
          <a:ext cx="9525" cy="15906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93</xdr:row>
      <xdr:rowOff>0</xdr:rowOff>
    </xdr:from>
    <xdr:to>
      <xdr:col>7</xdr:col>
      <xdr:colOff>733425</xdr:colOff>
      <xdr:row>93</xdr:row>
      <xdr:rowOff>19050</xdr:rowOff>
    </xdr:to>
    <xdr:cxnSp macro="">
      <xdr:nvCxnSpPr>
        <xdr:cNvPr id="14" name="7 Conector recto de flecha">
          <a:extLst>
            <a:ext uri="{FF2B5EF4-FFF2-40B4-BE49-F238E27FC236}">
              <a16:creationId xmlns:a16="http://schemas.microsoft.com/office/drawing/2014/main" id="{51D30237-DCA0-4948-823A-547A0FA80B32}"/>
            </a:ext>
          </a:extLst>
        </xdr:cNvPr>
        <xdr:cNvCxnSpPr/>
      </xdr:nvCxnSpPr>
      <xdr:spPr>
        <a:xfrm>
          <a:off x="1028700" y="1943100"/>
          <a:ext cx="4533900" cy="190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88</xdr:row>
      <xdr:rowOff>9525</xdr:rowOff>
    </xdr:from>
    <xdr:to>
      <xdr:col>4</xdr:col>
      <xdr:colOff>28575</xdr:colOff>
      <xdr:row>93</xdr:row>
      <xdr:rowOff>2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2596333C-C4A7-4395-9970-3F66F9C182A3}"/>
            </a:ext>
          </a:extLst>
        </xdr:cNvPr>
        <xdr:cNvCxnSpPr/>
      </xdr:nvCxnSpPr>
      <xdr:spPr>
        <a:xfrm flipV="1">
          <a:off x="20659725" y="12011025"/>
          <a:ext cx="0" cy="80010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695325</xdr:colOff>
      <xdr:row>91</xdr:row>
      <xdr:rowOff>95250</xdr:rowOff>
    </xdr:from>
    <xdr:to>
      <xdr:col>2</xdr:col>
      <xdr:colOff>695325</xdr:colOff>
      <xdr:row>92</xdr:row>
      <xdr:rowOff>152400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DF33AC90-D921-4793-A9CD-A12FE387ADFB}"/>
            </a:ext>
          </a:extLst>
        </xdr:cNvPr>
        <xdr:cNvCxnSpPr/>
      </xdr:nvCxnSpPr>
      <xdr:spPr>
        <a:xfrm>
          <a:off x="19802475" y="12582525"/>
          <a:ext cx="0" cy="21907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733425</xdr:colOff>
      <xdr:row>88</xdr:row>
      <xdr:rowOff>9525</xdr:rowOff>
    </xdr:from>
    <xdr:to>
      <xdr:col>5</xdr:col>
      <xdr:colOff>733425</xdr:colOff>
      <xdr:row>93</xdr:row>
      <xdr:rowOff>2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6C76A132-BB57-4AB0-BB09-FCD15F6988F9}"/>
            </a:ext>
          </a:extLst>
        </xdr:cNvPr>
        <xdr:cNvCxnSpPr/>
      </xdr:nvCxnSpPr>
      <xdr:spPr>
        <a:xfrm flipV="1">
          <a:off x="22126575" y="12011025"/>
          <a:ext cx="0" cy="80010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38101</xdr:colOff>
      <xdr:row>95</xdr:row>
      <xdr:rowOff>142876</xdr:rowOff>
    </xdr:from>
    <xdr:to>
      <xdr:col>8</xdr:col>
      <xdr:colOff>57151</xdr:colOff>
      <xdr:row>97</xdr:row>
      <xdr:rowOff>47626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A98763CA-C060-467F-8C3D-F8B6EA6AB1B4}"/>
            </a:ext>
          </a:extLst>
        </xdr:cNvPr>
        <xdr:cNvSpPr/>
      </xdr:nvSpPr>
      <xdr:spPr>
        <a:xfrm>
          <a:off x="21431251" y="13277851"/>
          <a:ext cx="2305050" cy="228600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</xdr:col>
      <xdr:colOff>400050</xdr:colOff>
      <xdr:row>85</xdr:row>
      <xdr:rowOff>38100</xdr:rowOff>
    </xdr:from>
    <xdr:to>
      <xdr:col>4</xdr:col>
      <xdr:colOff>409575</xdr:colOff>
      <xdr:row>93</xdr:row>
      <xdr:rowOff>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1B9A3901-5F08-4B7E-907F-FF058BA9C0D5}"/>
            </a:ext>
          </a:extLst>
        </xdr:cNvPr>
        <xdr:cNvCxnSpPr/>
      </xdr:nvCxnSpPr>
      <xdr:spPr>
        <a:xfrm flipH="1" flipV="1">
          <a:off x="21031200" y="11553825"/>
          <a:ext cx="9525" cy="125730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96</xdr:row>
      <xdr:rowOff>85723</xdr:rowOff>
    </xdr:from>
    <xdr:to>
      <xdr:col>5</xdr:col>
      <xdr:colOff>47625</xdr:colOff>
      <xdr:row>97</xdr:row>
      <xdr:rowOff>161923</xdr:rowOff>
    </xdr:to>
    <xdr:sp macro="" textlink="">
      <xdr:nvSpPr>
        <xdr:cNvPr id="23" name="Flecha: a la derecha 22">
          <a:extLst>
            <a:ext uri="{FF2B5EF4-FFF2-40B4-BE49-F238E27FC236}">
              <a16:creationId xmlns:a16="http://schemas.microsoft.com/office/drawing/2014/main" id="{249A5136-7D7B-41C0-8CC4-25451B86FFD5}"/>
            </a:ext>
          </a:extLst>
        </xdr:cNvPr>
        <xdr:cNvSpPr/>
      </xdr:nvSpPr>
      <xdr:spPr>
        <a:xfrm rot="10800000">
          <a:off x="20688300" y="13382623"/>
          <a:ext cx="752475" cy="238125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</xdr:col>
      <xdr:colOff>400050</xdr:colOff>
      <xdr:row>89</xdr:row>
      <xdr:rowOff>38100</xdr:rowOff>
    </xdr:from>
    <xdr:to>
      <xdr:col>5</xdr:col>
      <xdr:colOff>0</xdr:colOff>
      <xdr:row>90</xdr:row>
      <xdr:rowOff>57150</xdr:rowOff>
    </xdr:to>
    <xdr:sp macro="" textlink="">
      <xdr:nvSpPr>
        <xdr:cNvPr id="6" name="Flecha: a la izquierda y derecha 5">
          <a:extLst>
            <a:ext uri="{FF2B5EF4-FFF2-40B4-BE49-F238E27FC236}">
              <a16:creationId xmlns:a16="http://schemas.microsoft.com/office/drawing/2014/main" id="{77437CA1-6A1B-4901-AB21-02D8F560216D}"/>
            </a:ext>
          </a:extLst>
        </xdr:cNvPr>
        <xdr:cNvSpPr/>
      </xdr:nvSpPr>
      <xdr:spPr>
        <a:xfrm>
          <a:off x="21031200" y="12201525"/>
          <a:ext cx="361950" cy="180975"/>
        </a:xfrm>
        <a:prstGeom prst="leftRightArrow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</xdr:col>
      <xdr:colOff>747713</xdr:colOff>
      <xdr:row>84</xdr:row>
      <xdr:rowOff>123825</xdr:rowOff>
    </xdr:from>
    <xdr:to>
      <xdr:col>5</xdr:col>
      <xdr:colOff>1095375</xdr:colOff>
      <xdr:row>89</xdr:row>
      <xdr:rowOff>83344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88238271-ACC1-4DAB-B11F-462FC551712B}"/>
            </a:ext>
          </a:extLst>
        </xdr:cNvPr>
        <xdr:cNvCxnSpPr>
          <a:stCxn id="6" idx="1"/>
        </xdr:cNvCxnSpPr>
      </xdr:nvCxnSpPr>
      <xdr:spPr>
        <a:xfrm flipV="1">
          <a:off x="4186238" y="13582650"/>
          <a:ext cx="1443037" cy="76914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144780</xdr:colOff>
      <xdr:row>2</xdr:row>
      <xdr:rowOff>91440</xdr:rowOff>
    </xdr:from>
    <xdr:to>
      <xdr:col>0</xdr:col>
      <xdr:colOff>1135380</xdr:colOff>
      <xdr:row>4</xdr:row>
      <xdr:rowOff>91440</xdr:rowOff>
    </xdr:to>
    <xdr:sp macro="" textlink="">
      <xdr:nvSpPr>
        <xdr:cNvPr id="16" name="Rectángulo: esquinas redondeadas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4BC4DB-81D4-41A4-B4D5-8EAA749434CD}"/>
            </a:ext>
          </a:extLst>
        </xdr:cNvPr>
        <xdr:cNvSpPr/>
      </xdr:nvSpPr>
      <xdr:spPr>
        <a:xfrm>
          <a:off x="144780" y="518160"/>
          <a:ext cx="990600" cy="33528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7620</xdr:colOff>
      <xdr:row>0</xdr:row>
      <xdr:rowOff>30480</xdr:rowOff>
    </xdr:from>
    <xdr:to>
      <xdr:col>1</xdr:col>
      <xdr:colOff>265899</xdr:colOff>
      <xdr:row>1</xdr:row>
      <xdr:rowOff>156171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648D9AC7-72F7-4C93-B67D-AE1EBEBFE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" y="30480"/>
          <a:ext cx="1500339" cy="3771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2</xdr:row>
      <xdr:rowOff>45720</xdr:rowOff>
    </xdr:from>
    <xdr:to>
      <xdr:col>1</xdr:col>
      <xdr:colOff>335280</xdr:colOff>
      <xdr:row>5</xdr:row>
      <xdr:rowOff>7620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77BAEE-140F-4A19-AD24-1B4F2946D2F1}"/>
            </a:ext>
          </a:extLst>
        </xdr:cNvPr>
        <xdr:cNvSpPr/>
      </xdr:nvSpPr>
      <xdr:spPr>
        <a:xfrm>
          <a:off x="137160" y="487680"/>
          <a:ext cx="990600" cy="35814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707859</xdr:colOff>
      <xdr:row>1</xdr:row>
      <xdr:rowOff>125691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7F92368-2A17-4E86-A2E2-950B8F9DC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00339" cy="3771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67</xdr:row>
      <xdr:rowOff>0</xdr:rowOff>
    </xdr:from>
    <xdr:to>
      <xdr:col>5</xdr:col>
      <xdr:colOff>47625</xdr:colOff>
      <xdr:row>75</xdr:row>
      <xdr:rowOff>19050</xdr:rowOff>
    </xdr:to>
    <xdr:sp macro="" textlink="">
      <xdr:nvSpPr>
        <xdr:cNvPr id="17" name="Freeform 5">
          <a:extLst>
            <a:ext uri="{FF2B5EF4-FFF2-40B4-BE49-F238E27FC236}">
              <a16:creationId xmlns:a16="http://schemas.microsoft.com/office/drawing/2014/main" id="{4D0C6AB7-7FEB-47AF-ABC6-67041833BACA}"/>
            </a:ext>
          </a:extLst>
        </xdr:cNvPr>
        <xdr:cNvSpPr>
          <a:spLocks/>
        </xdr:cNvSpPr>
      </xdr:nvSpPr>
      <xdr:spPr bwMode="auto">
        <a:xfrm>
          <a:off x="495300" y="13458825"/>
          <a:ext cx="3781425" cy="1314450"/>
        </a:xfrm>
        <a:custGeom>
          <a:avLst/>
          <a:gdLst>
            <a:gd name="T0" fmla="*/ 0 w 2222"/>
            <a:gd name="T1" fmla="*/ 1501937 h 1505"/>
            <a:gd name="T2" fmla="*/ 1077512 w 2222"/>
            <a:gd name="T3" fmla="*/ 1317507 h 1505"/>
            <a:gd name="T4" fmla="*/ 2062046 w 2222"/>
            <a:gd name="T5" fmla="*/ 207867 h 1505"/>
            <a:gd name="T6" fmla="*/ 2295525 w 2222"/>
            <a:gd name="T7" fmla="*/ 69289 h 1505"/>
            <a:gd name="T8" fmla="*/ 0 60000 65536"/>
            <a:gd name="T9" fmla="*/ 0 60000 65536"/>
            <a:gd name="T10" fmla="*/ 0 60000 65536"/>
            <a:gd name="T11" fmla="*/ 0 60000 65536"/>
            <a:gd name="T12" fmla="*/ 0 w 2222"/>
            <a:gd name="T13" fmla="*/ 0 h 1505"/>
            <a:gd name="T14" fmla="*/ 2222 w 2222"/>
            <a:gd name="T15" fmla="*/ 1505 h 150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22" h="1505">
              <a:moveTo>
                <a:pt x="0" y="1474"/>
              </a:moveTo>
              <a:cubicBezTo>
                <a:pt x="355" y="1489"/>
                <a:pt x="710" y="1505"/>
                <a:pt x="1043" y="1293"/>
              </a:cubicBezTo>
              <a:cubicBezTo>
                <a:pt x="1376" y="1081"/>
                <a:pt x="1799" y="408"/>
                <a:pt x="1996" y="204"/>
              </a:cubicBezTo>
              <a:cubicBezTo>
                <a:pt x="2193" y="0"/>
                <a:pt x="2185" y="91"/>
                <a:pt x="2222" y="6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67</xdr:row>
      <xdr:rowOff>0</xdr:rowOff>
    </xdr:from>
    <xdr:to>
      <xdr:col>8</xdr:col>
      <xdr:colOff>0</xdr:colOff>
      <xdr:row>75</xdr:row>
      <xdr:rowOff>28575</xdr:rowOff>
    </xdr:to>
    <xdr:sp macro="" textlink="">
      <xdr:nvSpPr>
        <xdr:cNvPr id="18" name="Freeform 6">
          <a:extLst>
            <a:ext uri="{FF2B5EF4-FFF2-40B4-BE49-F238E27FC236}">
              <a16:creationId xmlns:a16="http://schemas.microsoft.com/office/drawing/2014/main" id="{1C07AD32-0CDA-47E4-BAAF-13FE9FD3C22B}"/>
            </a:ext>
          </a:extLst>
        </xdr:cNvPr>
        <xdr:cNvSpPr>
          <a:spLocks/>
        </xdr:cNvSpPr>
      </xdr:nvSpPr>
      <xdr:spPr bwMode="auto">
        <a:xfrm flipH="1">
          <a:off x="4229100" y="13458825"/>
          <a:ext cx="2981325" cy="1323975"/>
        </a:xfrm>
        <a:custGeom>
          <a:avLst/>
          <a:gdLst>
            <a:gd name="T0" fmla="*/ 0 w 2222"/>
            <a:gd name="T1" fmla="*/ 1501937 h 1505"/>
            <a:gd name="T2" fmla="*/ 1073041 w 2222"/>
            <a:gd name="T3" fmla="*/ 1317507 h 1505"/>
            <a:gd name="T4" fmla="*/ 2053490 w 2222"/>
            <a:gd name="T5" fmla="*/ 207867 h 1505"/>
            <a:gd name="T6" fmla="*/ 2286000 w 2222"/>
            <a:gd name="T7" fmla="*/ 69289 h 1505"/>
            <a:gd name="T8" fmla="*/ 0 60000 65536"/>
            <a:gd name="T9" fmla="*/ 0 60000 65536"/>
            <a:gd name="T10" fmla="*/ 0 60000 65536"/>
            <a:gd name="T11" fmla="*/ 0 60000 65536"/>
            <a:gd name="T12" fmla="*/ 0 w 2222"/>
            <a:gd name="T13" fmla="*/ 0 h 1505"/>
            <a:gd name="T14" fmla="*/ 2222 w 2222"/>
            <a:gd name="T15" fmla="*/ 1505 h 150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22" h="1505">
              <a:moveTo>
                <a:pt x="0" y="1474"/>
              </a:moveTo>
              <a:cubicBezTo>
                <a:pt x="355" y="1489"/>
                <a:pt x="710" y="1505"/>
                <a:pt x="1043" y="1293"/>
              </a:cubicBezTo>
              <a:cubicBezTo>
                <a:pt x="1376" y="1081"/>
                <a:pt x="1799" y="408"/>
                <a:pt x="1996" y="204"/>
              </a:cubicBezTo>
              <a:cubicBezTo>
                <a:pt x="2193" y="0"/>
                <a:pt x="2185" y="91"/>
                <a:pt x="2222" y="6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9526</xdr:colOff>
      <xdr:row>67</xdr:row>
      <xdr:rowOff>57149</xdr:rowOff>
    </xdr:from>
    <xdr:to>
      <xdr:col>5</xdr:col>
      <xdr:colOff>9526</xdr:colOff>
      <xdr:row>75</xdr:row>
      <xdr:rowOff>161924</xdr:rowOff>
    </xdr:to>
    <xdr:sp macro="" textlink="">
      <xdr:nvSpPr>
        <xdr:cNvPr id="19" name="Line 4">
          <a:extLst>
            <a:ext uri="{FF2B5EF4-FFF2-40B4-BE49-F238E27FC236}">
              <a16:creationId xmlns:a16="http://schemas.microsoft.com/office/drawing/2014/main" id="{D17C5B55-33D5-4C5B-8629-93606BF01AB2}"/>
            </a:ext>
          </a:extLst>
        </xdr:cNvPr>
        <xdr:cNvSpPr>
          <a:spLocks noChangeShapeType="1"/>
        </xdr:cNvSpPr>
      </xdr:nvSpPr>
      <xdr:spPr bwMode="auto">
        <a:xfrm flipV="1">
          <a:off x="12239626" y="10163174"/>
          <a:ext cx="0" cy="14001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76</xdr:row>
      <xdr:rowOff>0</xdr:rowOff>
    </xdr:from>
    <xdr:to>
      <xdr:col>7</xdr:col>
      <xdr:colOff>733425</xdr:colOff>
      <xdr:row>76</xdr:row>
      <xdr:rowOff>19050</xdr:rowOff>
    </xdr:to>
    <xdr:cxnSp macro="">
      <xdr:nvCxnSpPr>
        <xdr:cNvPr id="20" name="7 Conector recto de flecha">
          <a:extLst>
            <a:ext uri="{FF2B5EF4-FFF2-40B4-BE49-F238E27FC236}">
              <a16:creationId xmlns:a16="http://schemas.microsoft.com/office/drawing/2014/main" id="{20634B6F-2F22-4371-93D3-E98C2D0D5829}"/>
            </a:ext>
          </a:extLst>
        </xdr:cNvPr>
        <xdr:cNvCxnSpPr/>
      </xdr:nvCxnSpPr>
      <xdr:spPr>
        <a:xfrm>
          <a:off x="466725" y="14916150"/>
          <a:ext cx="6562725" cy="190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71</xdr:row>
      <xdr:rowOff>9525</xdr:rowOff>
    </xdr:from>
    <xdr:to>
      <xdr:col>4</xdr:col>
      <xdr:colOff>28575</xdr:colOff>
      <xdr:row>76</xdr:row>
      <xdr:rowOff>2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3069096C-7EF6-4D8C-A2A4-5259204C7EBB}"/>
            </a:ext>
          </a:extLst>
        </xdr:cNvPr>
        <xdr:cNvCxnSpPr/>
      </xdr:nvCxnSpPr>
      <xdr:spPr>
        <a:xfrm flipV="1">
          <a:off x="3162300" y="14116050"/>
          <a:ext cx="0" cy="80010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695325</xdr:colOff>
      <xdr:row>74</xdr:row>
      <xdr:rowOff>95250</xdr:rowOff>
    </xdr:from>
    <xdr:to>
      <xdr:col>2</xdr:col>
      <xdr:colOff>695325</xdr:colOff>
      <xdr:row>75</xdr:row>
      <xdr:rowOff>152400</xdr:rowOff>
    </xdr:to>
    <xdr:cxnSp macro="">
      <xdr:nvCxnSpPr>
        <xdr:cNvPr id="22" name="Conector recto 21">
          <a:extLst>
            <a:ext uri="{FF2B5EF4-FFF2-40B4-BE49-F238E27FC236}">
              <a16:creationId xmlns:a16="http://schemas.microsoft.com/office/drawing/2014/main" id="{5892FFF0-3359-4D4D-95C2-2D00DEBF64F5}"/>
            </a:ext>
          </a:extLst>
        </xdr:cNvPr>
        <xdr:cNvCxnSpPr/>
      </xdr:nvCxnSpPr>
      <xdr:spPr>
        <a:xfrm>
          <a:off x="1152525" y="14687550"/>
          <a:ext cx="0" cy="21907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733425</xdr:colOff>
      <xdr:row>71</xdr:row>
      <xdr:rowOff>9525</xdr:rowOff>
    </xdr:from>
    <xdr:to>
      <xdr:col>5</xdr:col>
      <xdr:colOff>733425</xdr:colOff>
      <xdr:row>76</xdr:row>
      <xdr:rowOff>2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EA842DC5-C287-4E9F-AEEA-9B3A606D140A}"/>
            </a:ext>
          </a:extLst>
        </xdr:cNvPr>
        <xdr:cNvCxnSpPr/>
      </xdr:nvCxnSpPr>
      <xdr:spPr>
        <a:xfrm flipV="1">
          <a:off x="4962525" y="14116050"/>
          <a:ext cx="0" cy="800102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38101</xdr:colOff>
      <xdr:row>78</xdr:row>
      <xdr:rowOff>142876</xdr:rowOff>
    </xdr:from>
    <xdr:to>
      <xdr:col>7</xdr:col>
      <xdr:colOff>762000</xdr:colOff>
      <xdr:row>80</xdr:row>
      <xdr:rowOff>9525</xdr:rowOff>
    </xdr:to>
    <xdr:sp macro="" textlink="">
      <xdr:nvSpPr>
        <xdr:cNvPr id="24" name="Flecha: a la derecha 23">
          <a:extLst>
            <a:ext uri="{FF2B5EF4-FFF2-40B4-BE49-F238E27FC236}">
              <a16:creationId xmlns:a16="http://schemas.microsoft.com/office/drawing/2014/main" id="{D8B0F5CB-C669-4DD3-B30F-8E2FDC6264D3}"/>
            </a:ext>
          </a:extLst>
        </xdr:cNvPr>
        <xdr:cNvSpPr/>
      </xdr:nvSpPr>
      <xdr:spPr>
        <a:xfrm>
          <a:off x="12268201" y="12030076"/>
          <a:ext cx="2285999" cy="190499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</xdr:col>
      <xdr:colOff>219076</xdr:colOff>
      <xdr:row>69</xdr:row>
      <xdr:rowOff>142875</xdr:rowOff>
    </xdr:from>
    <xdr:to>
      <xdr:col>4</xdr:col>
      <xdr:colOff>228600</xdr:colOff>
      <xdr:row>76</xdr:row>
      <xdr:rowOff>9525</xdr:rowOff>
    </xdr:to>
    <xdr:cxnSp macro="">
      <xdr:nvCxnSpPr>
        <xdr:cNvPr id="25" name="Conector recto 24">
          <a:extLst>
            <a:ext uri="{FF2B5EF4-FFF2-40B4-BE49-F238E27FC236}">
              <a16:creationId xmlns:a16="http://schemas.microsoft.com/office/drawing/2014/main" id="{B91BFDFC-E426-4C32-BA55-806720B8FEAB}"/>
            </a:ext>
          </a:extLst>
        </xdr:cNvPr>
        <xdr:cNvCxnSpPr/>
      </xdr:nvCxnSpPr>
      <xdr:spPr>
        <a:xfrm flipV="1">
          <a:off x="11734801" y="10572750"/>
          <a:ext cx="9524" cy="100012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209550</xdr:colOff>
      <xdr:row>72</xdr:row>
      <xdr:rowOff>47625</xdr:rowOff>
    </xdr:from>
    <xdr:to>
      <xdr:col>5</xdr:col>
      <xdr:colOff>19050</xdr:colOff>
      <xdr:row>73</xdr:row>
      <xdr:rowOff>104775</xdr:rowOff>
    </xdr:to>
    <xdr:sp macro="" textlink="">
      <xdr:nvSpPr>
        <xdr:cNvPr id="27" name="Flecha: a la izquierda y derecha 26">
          <a:extLst>
            <a:ext uri="{FF2B5EF4-FFF2-40B4-BE49-F238E27FC236}">
              <a16:creationId xmlns:a16="http://schemas.microsoft.com/office/drawing/2014/main" id="{7CDF4276-8874-42C3-A0A5-BF93BF3FD808}"/>
            </a:ext>
          </a:extLst>
        </xdr:cNvPr>
        <xdr:cNvSpPr/>
      </xdr:nvSpPr>
      <xdr:spPr>
        <a:xfrm>
          <a:off x="11725275" y="10963275"/>
          <a:ext cx="523875" cy="219075"/>
        </a:xfrm>
        <a:prstGeom prst="leftRightArrow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</xdr:col>
      <xdr:colOff>471488</xdr:colOff>
      <xdr:row>67</xdr:row>
      <xdr:rowOff>133351</xdr:rowOff>
    </xdr:from>
    <xdr:to>
      <xdr:col>5</xdr:col>
      <xdr:colOff>752475</xdr:colOff>
      <xdr:row>72</xdr:row>
      <xdr:rowOff>102394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EB9D6EB4-EE3F-4757-B8F2-D2132F71371F}"/>
            </a:ext>
          </a:extLst>
        </xdr:cNvPr>
        <xdr:cNvCxnSpPr>
          <a:stCxn id="27" idx="1"/>
        </xdr:cNvCxnSpPr>
      </xdr:nvCxnSpPr>
      <xdr:spPr>
        <a:xfrm flipV="1">
          <a:off x="11987213" y="10239376"/>
          <a:ext cx="995362" cy="77866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137160</xdr:colOff>
      <xdr:row>2</xdr:row>
      <xdr:rowOff>45720</xdr:rowOff>
    </xdr:from>
    <xdr:to>
      <xdr:col>0</xdr:col>
      <xdr:colOff>1127760</xdr:colOff>
      <xdr:row>4</xdr:row>
      <xdr:rowOff>22860</xdr:rowOff>
    </xdr:to>
    <xdr:sp macro="" textlink="">
      <xdr:nvSpPr>
        <xdr:cNvPr id="14" name="Rectángulo: esquinas redondeadas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A1D4E9-2BC0-4B34-B376-FC637B7A14F3}"/>
            </a:ext>
          </a:extLst>
        </xdr:cNvPr>
        <xdr:cNvSpPr/>
      </xdr:nvSpPr>
      <xdr:spPr>
        <a:xfrm>
          <a:off x="137160" y="472440"/>
          <a:ext cx="990600" cy="31242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182079</xdr:colOff>
      <xdr:row>1</xdr:row>
      <xdr:rowOff>125691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C82D8379-6917-49C5-9996-68CF21F06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00339" cy="3771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2</xdr:row>
      <xdr:rowOff>22860</xdr:rowOff>
    </xdr:from>
    <xdr:to>
      <xdr:col>1</xdr:col>
      <xdr:colOff>259080</xdr:colOff>
      <xdr:row>3</xdr:row>
      <xdr:rowOff>144780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3AC3C3-C0A8-439A-BD6E-11801F66B34F}"/>
            </a:ext>
          </a:extLst>
        </xdr:cNvPr>
        <xdr:cNvSpPr/>
      </xdr:nvSpPr>
      <xdr:spPr>
        <a:xfrm>
          <a:off x="137160" y="449580"/>
          <a:ext cx="990600" cy="297180"/>
        </a:xfrm>
        <a:prstGeom prst="roundRect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100">
              <a:latin typeface="Cambria" panose="02040503050406030204" pitchFamily="18" charset="0"/>
              <a:ea typeface="Cambria" panose="02040503050406030204" pitchFamily="18" charset="0"/>
            </a:rPr>
            <a:t>INICIO</a:t>
          </a:r>
        </a:p>
        <a:p>
          <a:pPr algn="ctr"/>
          <a:endParaRPr lang="es-PE" sz="110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15240</xdr:rowOff>
    </xdr:from>
    <xdr:to>
      <xdr:col>1</xdr:col>
      <xdr:colOff>631659</xdr:colOff>
      <xdr:row>1</xdr:row>
      <xdr:rowOff>140931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92462BA-B2AD-4B34-A480-D409B15BB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240"/>
          <a:ext cx="1500339" cy="377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VPN@10%25" TargetMode="External"/><Relationship Id="rId1" Type="http://schemas.openxmlformats.org/officeDocument/2006/relationships/hyperlink" Target="mailto:VPN@10%25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hyperlink" Target="mailto:VPN@12%25" TargetMode="External"/><Relationship Id="rId1" Type="http://schemas.openxmlformats.org/officeDocument/2006/relationships/hyperlink" Target="mailto:VPN@12%25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PN@12%25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VPN@12%25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6"/>
  <sheetViews>
    <sheetView tabSelected="1" zoomScale="99" zoomScaleNormal="99" workbookViewId="0">
      <selection activeCell="J10" sqref="J10"/>
    </sheetView>
  </sheetViews>
  <sheetFormatPr baseColWidth="10" defaultColWidth="11.5546875" defaultRowHeight="14.4" x14ac:dyDescent="0.3"/>
  <cols>
    <col min="1" max="1" width="11.5546875" style="2"/>
    <col min="2" max="2" width="14.6640625" style="2" customWidth="1"/>
    <col min="3" max="6" width="11.5546875" style="2"/>
    <col min="7" max="7" width="22.109375" style="2" customWidth="1"/>
    <col min="8" max="8" width="14.6640625" style="2" customWidth="1"/>
    <col min="9" max="16384" width="11.5546875" style="2"/>
  </cols>
  <sheetData>
    <row r="1" spans="2:9" x14ac:dyDescent="0.3">
      <c r="B1" s="1"/>
      <c r="C1" s="1"/>
      <c r="D1" s="1"/>
      <c r="E1" s="1"/>
      <c r="F1" s="1"/>
      <c r="G1" s="1"/>
      <c r="H1" s="1"/>
    </row>
    <row r="2" spans="2:9" ht="19.95" customHeight="1" x14ac:dyDescent="0.3">
      <c r="B2" s="1"/>
      <c r="C2" s="1"/>
      <c r="D2" s="1"/>
      <c r="E2" s="1"/>
      <c r="F2" s="1"/>
      <c r="G2" s="1"/>
      <c r="H2" s="1"/>
    </row>
    <row r="3" spans="2:9" ht="24" customHeight="1" x14ac:dyDescent="0.3">
      <c r="B3" s="1"/>
      <c r="C3" s="578" t="s">
        <v>417</v>
      </c>
      <c r="D3" s="579"/>
      <c r="E3" s="579"/>
      <c r="F3" s="579"/>
      <c r="G3" s="579"/>
      <c r="H3" s="1"/>
    </row>
    <row r="4" spans="2:9" ht="27" customHeight="1" x14ac:dyDescent="0.3">
      <c r="B4" s="580" t="s">
        <v>418</v>
      </c>
      <c r="C4" s="580"/>
      <c r="D4" s="580"/>
      <c r="E4" s="580"/>
      <c r="F4" s="580"/>
      <c r="G4" s="580"/>
      <c r="H4" s="580"/>
    </row>
    <row r="5" spans="2:9" ht="13.2" customHeight="1" x14ac:dyDescent="0.3">
      <c r="B5" s="581" t="s">
        <v>419</v>
      </c>
      <c r="C5" s="581"/>
      <c r="D5" s="581"/>
      <c r="E5" s="581"/>
      <c r="F5" s="581"/>
      <c r="G5" s="581"/>
      <c r="H5" s="581"/>
    </row>
    <row r="6" spans="2:9" ht="7.95" customHeight="1" x14ac:dyDescent="0.3">
      <c r="B6" s="581"/>
      <c r="C6" s="581"/>
      <c r="D6" s="581"/>
      <c r="E6" s="581"/>
      <c r="F6" s="581"/>
      <c r="G6" s="581"/>
      <c r="H6" s="581"/>
    </row>
    <row r="7" spans="2:9" ht="7.2" customHeight="1" x14ac:dyDescent="0.3">
      <c r="B7" s="3"/>
      <c r="C7" s="582" t="s">
        <v>420</v>
      </c>
      <c r="D7" s="582"/>
      <c r="E7" s="582"/>
      <c r="F7" s="582"/>
      <c r="G7" s="582"/>
      <c r="H7" s="3"/>
    </row>
    <row r="8" spans="2:9" ht="7.2" customHeight="1" x14ac:dyDescent="0.3">
      <c r="B8" s="3"/>
      <c r="C8" s="582"/>
      <c r="D8" s="582"/>
      <c r="E8" s="582"/>
      <c r="F8" s="582"/>
      <c r="G8" s="582"/>
      <c r="H8" s="3"/>
    </row>
    <row r="9" spans="2:9" ht="7.2" customHeight="1" x14ac:dyDescent="0.3">
      <c r="B9" s="3"/>
      <c r="C9" s="582"/>
      <c r="D9" s="582"/>
      <c r="E9" s="582"/>
      <c r="F9" s="582"/>
      <c r="G9" s="582"/>
      <c r="H9" s="3"/>
    </row>
    <row r="10" spans="2:9" ht="13.2" customHeight="1" x14ac:dyDescent="0.3">
      <c r="B10" s="1"/>
      <c r="C10" s="1"/>
      <c r="D10" s="1"/>
      <c r="E10" s="1"/>
      <c r="F10" s="1"/>
      <c r="G10" s="1"/>
      <c r="H10" s="1"/>
    </row>
    <row r="11" spans="2:9" x14ac:dyDescent="0.3">
      <c r="B11" s="1"/>
      <c r="C11" s="577" t="s">
        <v>421</v>
      </c>
      <c r="D11" s="577"/>
      <c r="E11" s="577"/>
      <c r="F11" s="577"/>
      <c r="G11" s="577"/>
      <c r="H11" s="1"/>
    </row>
    <row r="12" spans="2:9" ht="9" customHeight="1" x14ac:dyDescent="0.3">
      <c r="B12" s="1"/>
      <c r="C12" s="4"/>
      <c r="D12" s="4"/>
      <c r="E12" s="4"/>
      <c r="F12" s="4"/>
      <c r="G12" s="4"/>
      <c r="H12" s="1"/>
    </row>
    <row r="13" spans="2:9" x14ac:dyDescent="0.3">
      <c r="B13" s="1"/>
      <c r="C13" s="577" t="s">
        <v>431</v>
      </c>
      <c r="D13" s="577"/>
      <c r="E13" s="577"/>
      <c r="F13" s="577"/>
      <c r="G13" s="577"/>
      <c r="H13" s="1"/>
    </row>
    <row r="14" spans="2:9" ht="9" customHeight="1" x14ac:dyDescent="0.3">
      <c r="B14" s="1"/>
      <c r="C14" s="4"/>
      <c r="D14" s="4"/>
      <c r="E14" s="4"/>
      <c r="F14" s="4"/>
      <c r="G14" s="4"/>
      <c r="H14" s="1"/>
    </row>
    <row r="15" spans="2:9" x14ac:dyDescent="0.3">
      <c r="B15" s="1"/>
      <c r="C15" s="577" t="s">
        <v>432</v>
      </c>
      <c r="D15" s="577"/>
      <c r="E15" s="577"/>
      <c r="F15" s="577"/>
      <c r="G15" s="577"/>
      <c r="H15" s="1"/>
      <c r="I15" s="5"/>
    </row>
    <row r="16" spans="2:9" ht="9" customHeight="1" x14ac:dyDescent="0.3">
      <c r="B16" s="1"/>
      <c r="C16" s="4"/>
      <c r="D16" s="4"/>
      <c r="E16" s="4"/>
      <c r="F16" s="4"/>
      <c r="G16" s="4"/>
      <c r="H16" s="1"/>
    </row>
    <row r="17" spans="2:8" x14ac:dyDescent="0.3">
      <c r="B17" s="1"/>
      <c r="C17" s="577" t="s">
        <v>433</v>
      </c>
      <c r="D17" s="577"/>
      <c r="E17" s="577"/>
      <c r="F17" s="577"/>
      <c r="G17" s="577"/>
      <c r="H17" s="1"/>
    </row>
    <row r="18" spans="2:8" ht="9" customHeight="1" x14ac:dyDescent="0.3">
      <c r="B18" s="1"/>
      <c r="C18" s="4"/>
      <c r="D18" s="4"/>
      <c r="E18" s="4"/>
      <c r="F18" s="4"/>
      <c r="G18" s="4"/>
      <c r="H18" s="1"/>
    </row>
    <row r="19" spans="2:8" x14ac:dyDescent="0.3">
      <c r="B19" s="1"/>
      <c r="C19" s="577" t="s">
        <v>434</v>
      </c>
      <c r="D19" s="577"/>
      <c r="E19" s="577"/>
      <c r="F19" s="577"/>
      <c r="G19" s="577"/>
      <c r="H19" s="1"/>
    </row>
    <row r="20" spans="2:8" ht="9" customHeight="1" x14ac:dyDescent="0.3">
      <c r="B20" s="1"/>
      <c r="C20" s="4"/>
      <c r="D20" s="4"/>
      <c r="E20" s="4"/>
      <c r="F20" s="4"/>
      <c r="G20" s="4"/>
      <c r="H20" s="1"/>
    </row>
    <row r="21" spans="2:8" x14ac:dyDescent="0.3">
      <c r="B21" s="1"/>
      <c r="C21" s="577" t="s">
        <v>430</v>
      </c>
      <c r="D21" s="577"/>
      <c r="E21" s="577"/>
      <c r="F21" s="577"/>
      <c r="G21" s="577"/>
      <c r="H21" s="1"/>
    </row>
    <row r="22" spans="2:8" ht="9" customHeight="1" x14ac:dyDescent="0.3">
      <c r="B22" s="1"/>
      <c r="C22" s="4"/>
      <c r="D22" s="4"/>
      <c r="E22" s="4"/>
      <c r="F22" s="4"/>
      <c r="G22" s="4"/>
      <c r="H22" s="1"/>
    </row>
    <row r="23" spans="2:8" x14ac:dyDescent="0.3">
      <c r="B23" s="1"/>
      <c r="C23" s="577" t="s">
        <v>466</v>
      </c>
      <c r="D23" s="577"/>
      <c r="E23" s="577"/>
      <c r="F23" s="577"/>
      <c r="G23" s="577"/>
      <c r="H23" s="1"/>
    </row>
    <row r="24" spans="2:8" ht="9" customHeight="1" x14ac:dyDescent="0.3">
      <c r="B24" s="1"/>
      <c r="C24" s="4"/>
      <c r="D24" s="4"/>
      <c r="E24" s="4"/>
      <c r="F24" s="4"/>
      <c r="G24" s="4"/>
      <c r="H24" s="1"/>
    </row>
    <row r="25" spans="2:8" x14ac:dyDescent="0.3">
      <c r="B25" s="1"/>
      <c r="C25" s="577" t="s">
        <v>438</v>
      </c>
      <c r="D25" s="577"/>
      <c r="E25" s="577"/>
      <c r="F25" s="577"/>
      <c r="G25" s="577"/>
      <c r="H25" s="1"/>
    </row>
    <row r="26" spans="2:8" ht="9" customHeight="1" x14ac:dyDescent="0.3">
      <c r="B26" s="1"/>
      <c r="C26" s="4"/>
      <c r="D26" s="4"/>
      <c r="E26" s="4"/>
      <c r="F26" s="4"/>
      <c r="G26" s="4"/>
      <c r="H26" s="1"/>
    </row>
    <row r="27" spans="2:8" x14ac:dyDescent="0.3">
      <c r="B27" s="1"/>
      <c r="C27" s="577" t="s">
        <v>467</v>
      </c>
      <c r="D27" s="577"/>
      <c r="E27" s="577"/>
      <c r="F27" s="577"/>
      <c r="G27" s="577"/>
      <c r="H27" s="1"/>
    </row>
    <row r="28" spans="2:8" ht="9" customHeight="1" x14ac:dyDescent="0.3">
      <c r="B28" s="1"/>
      <c r="C28" s="4"/>
      <c r="D28" s="4"/>
      <c r="E28" s="4"/>
      <c r="F28" s="4"/>
      <c r="G28" s="4"/>
      <c r="H28" s="1"/>
    </row>
    <row r="29" spans="2:8" x14ac:dyDescent="0.3">
      <c r="B29" s="1"/>
      <c r="C29" s="577" t="s">
        <v>465</v>
      </c>
      <c r="D29" s="577"/>
      <c r="E29" s="577"/>
      <c r="F29" s="577"/>
      <c r="G29" s="577"/>
      <c r="H29" s="1"/>
    </row>
    <row r="30" spans="2:8" ht="9" customHeight="1" x14ac:dyDescent="0.3">
      <c r="B30" s="1"/>
      <c r="C30" s="4"/>
      <c r="D30" s="4"/>
      <c r="E30" s="4"/>
      <c r="F30" s="4"/>
      <c r="G30" s="4"/>
      <c r="H30" s="1"/>
    </row>
    <row r="31" spans="2:8" x14ac:dyDescent="0.3">
      <c r="B31" s="1"/>
      <c r="C31" s="577" t="s">
        <v>468</v>
      </c>
      <c r="D31" s="577"/>
      <c r="E31" s="577"/>
      <c r="F31" s="577"/>
      <c r="G31" s="577"/>
      <c r="H31" s="1"/>
    </row>
    <row r="32" spans="2:8" ht="9" customHeight="1" x14ac:dyDescent="0.3">
      <c r="B32" s="1"/>
      <c r="C32" s="4"/>
      <c r="D32" s="4"/>
      <c r="E32" s="4"/>
      <c r="F32" s="4"/>
      <c r="G32" s="4"/>
      <c r="H32" s="1"/>
    </row>
    <row r="33" spans="2:8" x14ac:dyDescent="0.3">
      <c r="B33" s="1"/>
      <c r="C33" s="577" t="s">
        <v>469</v>
      </c>
      <c r="D33" s="577"/>
      <c r="E33" s="577"/>
      <c r="F33" s="577"/>
      <c r="G33" s="577"/>
      <c r="H33" s="1"/>
    </row>
    <row r="34" spans="2:8" ht="9" customHeight="1" x14ac:dyDescent="0.3">
      <c r="B34" s="1"/>
      <c r="C34" s="4"/>
      <c r="D34" s="4"/>
      <c r="E34" s="4"/>
      <c r="F34" s="4"/>
      <c r="G34" s="4"/>
      <c r="H34" s="1"/>
    </row>
    <row r="35" spans="2:8" x14ac:dyDescent="0.3">
      <c r="B35" s="1"/>
      <c r="C35" s="577" t="s">
        <v>470</v>
      </c>
      <c r="D35" s="577"/>
      <c r="E35" s="577"/>
      <c r="F35" s="577"/>
      <c r="G35" s="577"/>
      <c r="H35" s="1"/>
    </row>
    <row r="36" spans="2:8" ht="9" customHeight="1" x14ac:dyDescent="0.3">
      <c r="B36" s="1"/>
      <c r="C36" s="4"/>
      <c r="D36" s="4"/>
      <c r="E36" s="4"/>
      <c r="F36" s="4"/>
      <c r="G36" s="4"/>
      <c r="H36" s="1"/>
    </row>
    <row r="37" spans="2:8" x14ac:dyDescent="0.3">
      <c r="B37" s="1"/>
      <c r="C37" s="577" t="s">
        <v>471</v>
      </c>
      <c r="D37" s="577"/>
      <c r="E37" s="577"/>
      <c r="F37" s="577"/>
      <c r="G37" s="577"/>
      <c r="H37" s="1"/>
    </row>
    <row r="38" spans="2:8" ht="9" customHeight="1" x14ac:dyDescent="0.3">
      <c r="B38" s="1"/>
      <c r="C38" s="4"/>
      <c r="D38" s="4"/>
      <c r="E38" s="4"/>
      <c r="F38" s="4"/>
      <c r="G38" s="4"/>
      <c r="H38" s="1"/>
    </row>
    <row r="39" spans="2:8" x14ac:dyDescent="0.3">
      <c r="B39" s="1"/>
      <c r="C39" s="577" t="s">
        <v>472</v>
      </c>
      <c r="D39" s="577"/>
      <c r="E39" s="577"/>
      <c r="F39" s="577"/>
      <c r="G39" s="577"/>
      <c r="H39" s="1"/>
    </row>
    <row r="40" spans="2:8" ht="9" customHeight="1" x14ac:dyDescent="0.3">
      <c r="B40" s="1"/>
      <c r="C40" s="4"/>
      <c r="D40" s="4"/>
      <c r="E40" s="4"/>
      <c r="F40" s="4"/>
      <c r="G40" s="4"/>
      <c r="H40" s="1"/>
    </row>
    <row r="41" spans="2:8" x14ac:dyDescent="0.3">
      <c r="B41" s="1"/>
      <c r="C41" s="577" t="s">
        <v>473</v>
      </c>
      <c r="D41" s="577"/>
      <c r="E41" s="577"/>
      <c r="F41" s="577"/>
      <c r="G41" s="577"/>
      <c r="H41" s="1"/>
    </row>
    <row r="42" spans="2:8" ht="9" customHeight="1" x14ac:dyDescent="0.3">
      <c r="B42" s="1"/>
      <c r="C42" s="4"/>
      <c r="D42" s="4"/>
      <c r="E42" s="4"/>
      <c r="F42" s="4"/>
      <c r="G42" s="4"/>
      <c r="H42" s="1"/>
    </row>
    <row r="43" spans="2:8" x14ac:dyDescent="0.3">
      <c r="B43" s="1"/>
      <c r="C43" s="577" t="s">
        <v>474</v>
      </c>
      <c r="D43" s="577"/>
      <c r="E43" s="577"/>
      <c r="F43" s="577"/>
      <c r="G43" s="577"/>
      <c r="H43" s="1"/>
    </row>
    <row r="44" spans="2:8" ht="9" customHeight="1" x14ac:dyDescent="0.3">
      <c r="B44" s="1"/>
      <c r="C44" s="4"/>
      <c r="D44" s="4"/>
      <c r="E44" s="4"/>
      <c r="F44" s="4"/>
      <c r="G44" s="4"/>
      <c r="H44" s="1"/>
    </row>
    <row r="45" spans="2:8" x14ac:dyDescent="0.3">
      <c r="B45" s="1"/>
      <c r="C45" s="577" t="s">
        <v>475</v>
      </c>
      <c r="D45" s="577"/>
      <c r="E45" s="577"/>
      <c r="F45" s="577"/>
      <c r="G45" s="577"/>
      <c r="H45" s="1"/>
    </row>
    <row r="46" spans="2:8" ht="9" customHeight="1" x14ac:dyDescent="0.3">
      <c r="B46" s="1"/>
      <c r="C46" s="4"/>
      <c r="D46" s="4"/>
      <c r="E46" s="4"/>
      <c r="F46" s="4"/>
      <c r="G46" s="4"/>
      <c r="H46" s="1"/>
    </row>
    <row r="47" spans="2:8" x14ac:dyDescent="0.3">
      <c r="B47" s="1"/>
      <c r="C47" s="577" t="s">
        <v>476</v>
      </c>
      <c r="D47" s="577"/>
      <c r="E47" s="577"/>
      <c r="F47" s="577"/>
      <c r="G47" s="577"/>
      <c r="H47" s="1"/>
    </row>
    <row r="48" spans="2:8" ht="9" customHeight="1" x14ac:dyDescent="0.3">
      <c r="B48" s="1"/>
      <c r="C48" s="4"/>
      <c r="D48" s="4"/>
      <c r="E48" s="4"/>
      <c r="F48" s="4"/>
      <c r="G48" s="4"/>
      <c r="H48" s="1"/>
    </row>
    <row r="49" spans="2:8" x14ac:dyDescent="0.3">
      <c r="B49" s="1"/>
      <c r="C49" s="577" t="s">
        <v>477</v>
      </c>
      <c r="D49" s="577"/>
      <c r="E49" s="577"/>
      <c r="F49" s="577"/>
      <c r="G49" s="577"/>
      <c r="H49" s="1"/>
    </row>
    <row r="50" spans="2:8" ht="9" customHeight="1" x14ac:dyDescent="0.3">
      <c r="B50" s="1"/>
      <c r="C50" s="4"/>
      <c r="D50" s="4"/>
      <c r="E50" s="4"/>
      <c r="F50" s="4"/>
      <c r="G50" s="4"/>
      <c r="H50" s="1"/>
    </row>
    <row r="51" spans="2:8" x14ac:dyDescent="0.3">
      <c r="B51" s="1"/>
      <c r="C51" s="577" t="s">
        <v>478</v>
      </c>
      <c r="D51" s="577"/>
      <c r="E51" s="577"/>
      <c r="F51" s="577"/>
      <c r="G51" s="577"/>
      <c r="H51" s="1"/>
    </row>
    <row r="52" spans="2:8" ht="9" customHeight="1" x14ac:dyDescent="0.3">
      <c r="B52" s="1"/>
      <c r="C52" s="565"/>
      <c r="D52" s="565"/>
      <c r="E52" s="565"/>
      <c r="F52" s="565"/>
      <c r="G52" s="565"/>
      <c r="H52" s="1"/>
    </row>
    <row r="53" spans="2:8" x14ac:dyDescent="0.3">
      <c r="B53" s="1"/>
      <c r="C53" s="577" t="s">
        <v>479</v>
      </c>
      <c r="D53" s="577"/>
      <c r="E53" s="577"/>
      <c r="F53" s="577"/>
      <c r="G53" s="577"/>
      <c r="H53" s="1"/>
    </row>
    <row r="54" spans="2:8" x14ac:dyDescent="0.3">
      <c r="B54" s="1"/>
      <c r="C54" s="1"/>
      <c r="D54" s="1"/>
      <c r="E54" s="1"/>
      <c r="F54" s="1"/>
      <c r="G54" s="1"/>
      <c r="H54" s="1"/>
    </row>
    <row r="55" spans="2:8" x14ac:dyDescent="0.3">
      <c r="B55" s="564"/>
      <c r="C55" s="564"/>
      <c r="D55" s="564"/>
      <c r="E55" s="564"/>
      <c r="F55" s="564"/>
      <c r="G55" s="564"/>
      <c r="H55" s="564"/>
    </row>
    <row r="56" spans="2:8" x14ac:dyDescent="0.3">
      <c r="B56" s="1"/>
      <c r="C56" s="1"/>
      <c r="D56" s="1"/>
      <c r="E56" s="1"/>
      <c r="F56" s="1"/>
      <c r="G56" s="1"/>
      <c r="H56" s="1"/>
    </row>
  </sheetData>
  <mergeCells count="27">
    <mergeCell ref="C29:G29"/>
    <mergeCell ref="C31:G31"/>
    <mergeCell ref="C33:G33"/>
    <mergeCell ref="C49:G49"/>
    <mergeCell ref="C51:G51"/>
    <mergeCell ref="C37:G37"/>
    <mergeCell ref="C39:G39"/>
    <mergeCell ref="C41:G41"/>
    <mergeCell ref="C43:G43"/>
    <mergeCell ref="C45:G45"/>
    <mergeCell ref="C47:G47"/>
    <mergeCell ref="C11:G11"/>
    <mergeCell ref="C53:G53"/>
    <mergeCell ref="C3:G3"/>
    <mergeCell ref="B4:H4"/>
    <mergeCell ref="B5:H5"/>
    <mergeCell ref="B6:H6"/>
    <mergeCell ref="C7:G9"/>
    <mergeCell ref="C35:G35"/>
    <mergeCell ref="C13:G13"/>
    <mergeCell ref="C15:G15"/>
    <mergeCell ref="C17:G17"/>
    <mergeCell ref="C19:G19"/>
    <mergeCell ref="C21:G21"/>
    <mergeCell ref="C23:G23"/>
    <mergeCell ref="C25:G25"/>
    <mergeCell ref="C27:G27"/>
  </mergeCells>
  <hyperlinks>
    <hyperlink ref="C11:G11" location="'Ejercicio 1'!A1" display="1. Los zapatos para nieve de Bata Limac" xr:uid="{00000000-0004-0000-0000-000000000000}"/>
    <hyperlink ref="C13:G13" location="'Ejercicio 2'!A1" display="2. El proyecto del Banco del Ocio" xr:uid="{00000000-0004-0000-0000-000001000000}"/>
    <hyperlink ref="C15:G15" location="'Ejercicio 3'!A1" display="3. La máquina de helados de mifarmacia.com" xr:uid="{00000000-0004-0000-0000-000002000000}"/>
    <hyperlink ref="C17:G17" location="'Ejercicio 4'!A1" display="4. Los palos de golf de Tiger Woods" xr:uid="{00000000-0004-0000-0000-000003000000}"/>
    <hyperlink ref="C19:G19" location="'Ejercicio 5'!A1" display="5. Las raquetas de tenis de grafito" xr:uid="{00000000-0004-0000-0000-000004000000}"/>
    <hyperlink ref="C21:G21" location="'Escenario Ejercicio 5'!A1" display="Resumen del escenario del ejercicio &quot;Las raquetas de tenis de grafito&quot;" xr:uid="{00000000-0004-0000-0000-000005000000}"/>
    <hyperlink ref="C23:G23" location="'Ejercicio 6'!A1" display="6. El nuevo aditivo de British Petroleum" xr:uid="{00000000-0004-0000-0000-000006000000}"/>
    <hyperlink ref="C25:G25" location="'Escenario Ejercicio 6'!A1" display="Resumen del escenario del ejercicio &quot;El nuevo aditivo de British Petroleum&quot;" xr:uid="{00000000-0004-0000-0000-000007000000}"/>
    <hyperlink ref="C27:G27" location="'Ejercicio 7'!A1" display="7. El refresco de fresa de Gaseosas del Perú SAC" xr:uid="{00000000-0004-0000-0000-000008000000}"/>
    <hyperlink ref="C29:G29" location="'Escenario Ejercicio 7'!A1" display="Resumen del escenario del ejercicio &quot;El refresco de fresa de Gaseosas del Perú SAC&quot;" xr:uid="{00000000-0004-0000-0000-000009000000}"/>
    <hyperlink ref="C31:G31" location="'Ejercicio 8'!A1" display="8. El consumo de combustible de la Cía. de Camiones Mack" xr:uid="{00000000-0004-0000-0000-00000A000000}"/>
    <hyperlink ref="C33:G33" location="'Ejercicio 9'!A1" display="9. La temporada de conciertos de la Sinfónica de Bosquivia" xr:uid="{00000000-0004-0000-0000-00000B000000}"/>
    <hyperlink ref="C35:G35" location="'Ejercicio 10'!A1" display="10. El programa de becas del reino de Bosquivia" xr:uid="{00000000-0004-0000-0000-00000C000000}"/>
    <hyperlink ref="C37:G37" location="'Ejercicio 11'!A1" display="11. El nivel de ventas de un proyecto de inversión" xr:uid="{00000000-0004-0000-0000-00000D000000}"/>
    <hyperlink ref="C39:G39" location="'Ejercicio 12'!A1" display="12. El suministro de energía del reino de Bosquivia" xr:uid="{00000000-0004-0000-0000-00000E000000}"/>
    <hyperlink ref="C41:G41" location="'Ejercicio 13'!A1" display="13. El precio máximo de la maquinaria de MMC" xr:uid="{00000000-0004-0000-0000-00000F000000}"/>
    <hyperlink ref="C43:G43" location="'Ejercicio 14'!A1" display="14. La implementación de una fábrica de autopartes" xr:uid="{00000000-0004-0000-0000-000010000000}"/>
    <hyperlink ref="C45:G45" location="'Ejercicio 15'!A1" display="15. La frazada eléctrica de Tapitap" xr:uid="{00000000-0004-0000-0000-000011000000}"/>
    <hyperlink ref="C47:G47" location="'Ejercicio 16'!A1" display="16. El proyecto de la nueva heladería" xr:uid="{00000000-0004-0000-0000-000012000000}"/>
    <hyperlink ref="C49:G49" location="'Ejercicio 17'!A1" display="17. La nueva línea de chompas de d’Chómpaz" xr:uid="{00000000-0004-0000-0000-000013000000}"/>
    <hyperlink ref="C51:G51" location="'Ejercicio 18'!A1" display="18. El guion del estudiante de finanzas" xr:uid="{00000000-0004-0000-0000-000014000000}"/>
    <hyperlink ref="C53:G53" location="'Ejercicio 19'!A1" display="19. Instalación “cara” versus instalación “barata”" xr:uid="{00000000-0004-0000-0000-000015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104"/>
  <sheetViews>
    <sheetView topLeftCell="A4" zoomScaleNormal="100" workbookViewId="0">
      <selection activeCell="K22" sqref="K22"/>
    </sheetView>
  </sheetViews>
  <sheetFormatPr baseColWidth="10" defaultColWidth="13.5546875" defaultRowHeight="13.8" x14ac:dyDescent="0.25"/>
  <cols>
    <col min="1" max="1" width="16.6640625" style="6" customWidth="1"/>
    <col min="2" max="2" width="6.88671875" style="6" customWidth="1"/>
    <col min="3" max="3" width="24.6640625" style="6" customWidth="1"/>
    <col min="4" max="4" width="17.5546875" style="6" bestFit="1" customWidth="1"/>
    <col min="5" max="5" width="14.88671875" style="6" customWidth="1"/>
    <col min="6" max="6" width="18.5546875" style="6" customWidth="1"/>
    <col min="7" max="7" width="11.109375" style="6" customWidth="1"/>
    <col min="8" max="8" width="10.88671875" style="6" customWidth="1"/>
    <col min="9" max="9" width="11.44140625" style="6" customWidth="1"/>
    <col min="10" max="10" width="13.6640625" style="6" bestFit="1" customWidth="1"/>
    <col min="11" max="11" width="7" style="6" bestFit="1" customWidth="1"/>
    <col min="12" max="13" width="9.6640625" style="6" bestFit="1" customWidth="1"/>
    <col min="14" max="15" width="9.109375" style="6" bestFit="1" customWidth="1"/>
    <col min="16" max="18" width="10.109375" style="6" bestFit="1" customWidth="1"/>
    <col min="19" max="16384" width="13.5546875" style="6"/>
  </cols>
  <sheetData>
    <row r="1" spans="3:10" ht="19.95" customHeight="1" x14ac:dyDescent="0.25">
      <c r="C1" s="583" t="s">
        <v>464</v>
      </c>
      <c r="D1" s="583"/>
      <c r="E1" s="583"/>
      <c r="F1" s="583"/>
      <c r="G1" s="583"/>
      <c r="H1" s="583"/>
      <c r="I1" s="583"/>
      <c r="J1" s="583"/>
    </row>
    <row r="3" spans="3:10" x14ac:dyDescent="0.25">
      <c r="C3" s="38"/>
      <c r="D3" s="306"/>
      <c r="E3" s="510"/>
    </row>
    <row r="4" spans="3:10" x14ac:dyDescent="0.25">
      <c r="C4" s="613" t="s">
        <v>275</v>
      </c>
      <c r="D4" s="614"/>
      <c r="E4" s="615"/>
    </row>
    <row r="5" spans="3:10" x14ac:dyDescent="0.25">
      <c r="C5" s="555"/>
      <c r="D5" s="556"/>
      <c r="E5" s="557"/>
    </row>
    <row r="6" spans="3:10" x14ac:dyDescent="0.25">
      <c r="C6" s="86"/>
      <c r="D6" s="102" t="s">
        <v>34</v>
      </c>
      <c r="E6" s="103" t="s">
        <v>258</v>
      </c>
    </row>
    <row r="7" spans="3:10" x14ac:dyDescent="0.25">
      <c r="C7" s="19" t="s">
        <v>302</v>
      </c>
      <c r="D7" s="13"/>
      <c r="E7" s="20">
        <f>125000*D14</f>
        <v>125000</v>
      </c>
    </row>
    <row r="8" spans="3:10" x14ac:dyDescent="0.25">
      <c r="C8" s="19" t="s">
        <v>52</v>
      </c>
      <c r="D8" s="13"/>
      <c r="E8" s="22">
        <v>0.25</v>
      </c>
    </row>
    <row r="9" spans="3:10" x14ac:dyDescent="0.25">
      <c r="C9" s="19" t="s">
        <v>187</v>
      </c>
      <c r="D9" s="13">
        <f>200000+40000</f>
        <v>240000</v>
      </c>
      <c r="E9" s="20"/>
    </row>
    <row r="10" spans="3:10" x14ac:dyDescent="0.25">
      <c r="C10" s="19" t="s">
        <v>168</v>
      </c>
      <c r="D10" s="13">
        <f>25000-5000</f>
        <v>20000</v>
      </c>
      <c r="E10" s="20"/>
    </row>
    <row r="11" spans="3:10" x14ac:dyDescent="0.25">
      <c r="C11" s="19" t="s">
        <v>158</v>
      </c>
      <c r="D11" s="13"/>
      <c r="E11" s="20">
        <f>25000*D15</f>
        <v>25000</v>
      </c>
    </row>
    <row r="12" spans="3:10" x14ac:dyDescent="0.25">
      <c r="C12" s="19" t="s">
        <v>53</v>
      </c>
      <c r="D12" s="45">
        <v>0.4</v>
      </c>
      <c r="E12" s="20"/>
    </row>
    <row r="13" spans="3:10" x14ac:dyDescent="0.25">
      <c r="C13" s="19" t="s">
        <v>31</v>
      </c>
      <c r="D13" s="47">
        <f>10%*D16</f>
        <v>0.1</v>
      </c>
      <c r="E13" s="20"/>
    </row>
    <row r="14" spans="3:10" x14ac:dyDescent="0.25">
      <c r="C14" s="19" t="s">
        <v>363</v>
      </c>
      <c r="D14" s="13">
        <v>1</v>
      </c>
      <c r="E14" s="20"/>
    </row>
    <row r="15" spans="3:10" x14ac:dyDescent="0.25">
      <c r="C15" s="19" t="s">
        <v>364</v>
      </c>
      <c r="D15" s="13">
        <v>1</v>
      </c>
      <c r="E15" s="20"/>
    </row>
    <row r="16" spans="3:10" x14ac:dyDescent="0.25">
      <c r="C16" s="19" t="s">
        <v>365</v>
      </c>
      <c r="D16" s="13">
        <v>1</v>
      </c>
      <c r="E16" s="20"/>
    </row>
    <row r="17" spans="2:9" x14ac:dyDescent="0.25">
      <c r="C17" s="23"/>
      <c r="D17" s="60"/>
      <c r="E17" s="122"/>
    </row>
    <row r="18" spans="2:9" x14ac:dyDescent="0.25">
      <c r="D18" s="57"/>
    </row>
    <row r="20" spans="2:9" x14ac:dyDescent="0.25">
      <c r="B20" s="11" t="s">
        <v>105</v>
      </c>
      <c r="C20" s="27" t="s">
        <v>171</v>
      </c>
      <c r="D20" s="28" t="s">
        <v>34</v>
      </c>
      <c r="E20" s="28" t="s">
        <v>39</v>
      </c>
      <c r="F20" s="28" t="s">
        <v>40</v>
      </c>
      <c r="G20" s="28" t="s">
        <v>41</v>
      </c>
      <c r="H20" s="28" t="s">
        <v>42</v>
      </c>
      <c r="I20" s="29" t="s">
        <v>43</v>
      </c>
    </row>
    <row r="21" spans="2:9" x14ac:dyDescent="0.25">
      <c r="C21" s="19" t="s">
        <v>302</v>
      </c>
      <c r="D21" s="13"/>
      <c r="E21" s="13">
        <f>+$E$7</f>
        <v>125000</v>
      </c>
      <c r="F21" s="13">
        <f>+$E$7</f>
        <v>125000</v>
      </c>
      <c r="G21" s="13">
        <f>+$E$7</f>
        <v>125000</v>
      </c>
      <c r="H21" s="13">
        <f>+$E$7</f>
        <v>125000</v>
      </c>
      <c r="I21" s="20"/>
    </row>
    <row r="22" spans="2:9" x14ac:dyDescent="0.25">
      <c r="C22" s="19" t="s">
        <v>50</v>
      </c>
      <c r="D22" s="13"/>
      <c r="E22" s="13"/>
      <c r="F22" s="13"/>
      <c r="G22" s="13"/>
      <c r="H22" s="13"/>
      <c r="I22" s="20">
        <f>+E11</f>
        <v>25000</v>
      </c>
    </row>
    <row r="23" spans="2:9" x14ac:dyDescent="0.25">
      <c r="C23" s="19" t="s">
        <v>52</v>
      </c>
      <c r="D23" s="13"/>
      <c r="E23" s="13">
        <f>-$E$8*$D$9</f>
        <v>-60000</v>
      </c>
      <c r="F23" s="13">
        <f>-$E$8*$D$9</f>
        <v>-60000</v>
      </c>
      <c r="G23" s="13">
        <f>-$E$8*$D$9</f>
        <v>-60000</v>
      </c>
      <c r="H23" s="13">
        <f>-$E$8*$D$9</f>
        <v>-60000</v>
      </c>
      <c r="I23" s="20"/>
    </row>
    <row r="24" spans="2:9" x14ac:dyDescent="0.25">
      <c r="C24" s="19" t="s">
        <v>53</v>
      </c>
      <c r="D24" s="13"/>
      <c r="E24" s="13">
        <f>-SUM(E21:E23)*$D$12</f>
        <v>-26000</v>
      </c>
      <c r="F24" s="13">
        <f>-SUM(F21:F23)*$D$12</f>
        <v>-26000</v>
      </c>
      <c r="G24" s="13">
        <f>-SUM(G21:G23)*$D$12</f>
        <v>-26000</v>
      </c>
      <c r="H24" s="13">
        <f>-SUM(H21:H23)*$D$12</f>
        <v>-26000</v>
      </c>
      <c r="I24" s="20">
        <f>-SUM(I21:I23)*$D$12</f>
        <v>-10000</v>
      </c>
    </row>
    <row r="25" spans="2:9" x14ac:dyDescent="0.25">
      <c r="C25" s="31" t="s">
        <v>28</v>
      </c>
      <c r="D25" s="32"/>
      <c r="E25" s="32">
        <f>SUM(E21:E24)</f>
        <v>39000</v>
      </c>
      <c r="F25" s="32">
        <f t="shared" ref="F25:I25" si="0">SUM(F21:F24)</f>
        <v>39000</v>
      </c>
      <c r="G25" s="32">
        <f t="shared" si="0"/>
        <v>39000</v>
      </c>
      <c r="H25" s="32">
        <f t="shared" si="0"/>
        <v>39000</v>
      </c>
      <c r="I25" s="33">
        <f t="shared" si="0"/>
        <v>15000</v>
      </c>
    </row>
    <row r="27" spans="2:9" x14ac:dyDescent="0.25">
      <c r="C27" s="27" t="s">
        <v>176</v>
      </c>
      <c r="D27" s="28" t="s">
        <v>34</v>
      </c>
      <c r="E27" s="28" t="s">
        <v>39</v>
      </c>
      <c r="F27" s="28" t="s">
        <v>40</v>
      </c>
      <c r="G27" s="28" t="s">
        <v>41</v>
      </c>
      <c r="H27" s="28" t="s">
        <v>42</v>
      </c>
      <c r="I27" s="29" t="s">
        <v>43</v>
      </c>
    </row>
    <row r="28" spans="2:9" x14ac:dyDescent="0.25">
      <c r="C28" s="19" t="s">
        <v>54</v>
      </c>
      <c r="D28" s="13"/>
      <c r="E28" s="13">
        <f>+E25</f>
        <v>39000</v>
      </c>
      <c r="F28" s="13">
        <f t="shared" ref="F28:I28" si="1">+F25</f>
        <v>39000</v>
      </c>
      <c r="G28" s="13">
        <f t="shared" si="1"/>
        <v>39000</v>
      </c>
      <c r="H28" s="13">
        <f t="shared" si="1"/>
        <v>39000</v>
      </c>
      <c r="I28" s="20">
        <f t="shared" si="1"/>
        <v>15000</v>
      </c>
    </row>
    <row r="29" spans="2:9" x14ac:dyDescent="0.25">
      <c r="C29" s="19" t="s">
        <v>55</v>
      </c>
      <c r="D29" s="13"/>
      <c r="E29" s="13">
        <f>-E23</f>
        <v>60000</v>
      </c>
      <c r="F29" s="13">
        <f t="shared" ref="F29:H29" si="2">-F23</f>
        <v>60000</v>
      </c>
      <c r="G29" s="13">
        <f t="shared" si="2"/>
        <v>60000</v>
      </c>
      <c r="H29" s="13">
        <f t="shared" si="2"/>
        <v>60000</v>
      </c>
      <c r="I29" s="20"/>
    </row>
    <row r="30" spans="2:9" x14ac:dyDescent="0.25">
      <c r="C30" s="19" t="s">
        <v>303</v>
      </c>
      <c r="D30" s="13"/>
      <c r="E30" s="13"/>
      <c r="F30" s="13"/>
      <c r="G30" s="13"/>
      <c r="H30" s="13"/>
      <c r="I30" s="20">
        <v>0</v>
      </c>
    </row>
    <row r="31" spans="2:9" x14ac:dyDescent="0.25">
      <c r="C31" s="19" t="s">
        <v>304</v>
      </c>
      <c r="D31" s="13"/>
      <c r="E31" s="13"/>
      <c r="F31" s="13"/>
      <c r="G31" s="13"/>
      <c r="H31" s="13"/>
      <c r="I31" s="20">
        <f>+D10</f>
        <v>20000</v>
      </c>
    </row>
    <row r="32" spans="2:9" x14ac:dyDescent="0.25">
      <c r="C32" s="19" t="s">
        <v>19</v>
      </c>
      <c r="D32" s="13">
        <f>-D9-D10</f>
        <v>-260000</v>
      </c>
      <c r="E32" s="13"/>
      <c r="F32" s="13"/>
      <c r="G32" s="13"/>
      <c r="H32" s="13"/>
      <c r="I32" s="20"/>
    </row>
    <row r="33" spans="2:9" x14ac:dyDescent="0.25">
      <c r="C33" s="31" t="s">
        <v>85</v>
      </c>
      <c r="D33" s="32">
        <f>SUM(D28:D32)</f>
        <v>-260000</v>
      </c>
      <c r="E33" s="32">
        <f t="shared" ref="E33:I33" si="3">SUM(E28:E32)</f>
        <v>99000</v>
      </c>
      <c r="F33" s="32">
        <f t="shared" si="3"/>
        <v>99000</v>
      </c>
      <c r="G33" s="32">
        <f t="shared" si="3"/>
        <v>99000</v>
      </c>
      <c r="H33" s="32">
        <f t="shared" si="3"/>
        <v>99000</v>
      </c>
      <c r="I33" s="33">
        <f t="shared" si="3"/>
        <v>35000</v>
      </c>
    </row>
    <row r="35" spans="2:9" x14ac:dyDescent="0.25">
      <c r="C35" s="73" t="s">
        <v>27</v>
      </c>
      <c r="D35" s="30">
        <f>+D33+NPV(D13,E33:I33)</f>
        <v>75548.925495650445</v>
      </c>
    </row>
    <row r="37" spans="2:9" x14ac:dyDescent="0.25">
      <c r="B37" s="11" t="s">
        <v>106</v>
      </c>
      <c r="C37" s="27" t="s">
        <v>171</v>
      </c>
      <c r="D37" s="28" t="s">
        <v>34</v>
      </c>
      <c r="E37" s="28" t="s">
        <v>39</v>
      </c>
      <c r="F37" s="28" t="s">
        <v>40</v>
      </c>
      <c r="G37" s="28" t="s">
        <v>41</v>
      </c>
      <c r="H37" s="28" t="s">
        <v>42</v>
      </c>
      <c r="I37" s="29" t="s">
        <v>43</v>
      </c>
    </row>
    <row r="38" spans="2:9" x14ac:dyDescent="0.25">
      <c r="C38" s="19" t="s">
        <v>302</v>
      </c>
      <c r="D38" s="13"/>
      <c r="E38" s="13">
        <f>+$E$7</f>
        <v>125000</v>
      </c>
      <c r="F38" s="13">
        <f>+$E$7</f>
        <v>125000</v>
      </c>
      <c r="G38" s="13">
        <f>+$E$7</f>
        <v>125000</v>
      </c>
      <c r="H38" s="13">
        <f>+$E$7</f>
        <v>125000</v>
      </c>
      <c r="I38" s="20"/>
    </row>
    <row r="39" spans="2:9" x14ac:dyDescent="0.25">
      <c r="C39" s="19" t="s">
        <v>162</v>
      </c>
      <c r="D39" s="13"/>
      <c r="E39" s="13">
        <v>-20000</v>
      </c>
      <c r="F39" s="13">
        <v>-20000</v>
      </c>
      <c r="G39" s="13">
        <v>-20000</v>
      </c>
      <c r="H39" s="13">
        <v>-20000</v>
      </c>
      <c r="I39" s="20"/>
    </row>
    <row r="40" spans="2:9" x14ac:dyDescent="0.25">
      <c r="C40" s="19" t="s">
        <v>397</v>
      </c>
      <c r="D40" s="13"/>
      <c r="E40" s="13">
        <v>-5000</v>
      </c>
      <c r="F40" s="13">
        <v>-5000</v>
      </c>
      <c r="G40" s="13">
        <v>-5000</v>
      </c>
      <c r="H40" s="13">
        <v>-5000</v>
      </c>
      <c r="I40" s="20"/>
    </row>
    <row r="41" spans="2:9" x14ac:dyDescent="0.25">
      <c r="C41" s="19" t="s">
        <v>50</v>
      </c>
      <c r="D41" s="13"/>
      <c r="E41" s="13"/>
      <c r="F41" s="13"/>
      <c r="G41" s="13"/>
      <c r="H41" s="13"/>
      <c r="I41" s="20">
        <f>+E11</f>
        <v>25000</v>
      </c>
    </row>
    <row r="42" spans="2:9" x14ac:dyDescent="0.25">
      <c r="C42" s="19" t="s">
        <v>52</v>
      </c>
      <c r="D42" s="13"/>
      <c r="E42" s="13">
        <f>-$E$8*$D$9</f>
        <v>-60000</v>
      </c>
      <c r="F42" s="13">
        <f>-$E$8*$D$9</f>
        <v>-60000</v>
      </c>
      <c r="G42" s="13">
        <f>-$E$8*$D$9</f>
        <v>-60000</v>
      </c>
      <c r="H42" s="13">
        <f>-$E$8*$D$9</f>
        <v>-60000</v>
      </c>
      <c r="I42" s="20"/>
    </row>
    <row r="43" spans="2:9" x14ac:dyDescent="0.25">
      <c r="C43" s="19" t="s">
        <v>53</v>
      </c>
      <c r="D43" s="13"/>
      <c r="E43" s="13">
        <f>-SUM(E38:E42)*$D$12</f>
        <v>-16000</v>
      </c>
      <c r="F43" s="13">
        <f>-SUM(F38:F42)*$D$12</f>
        <v>-16000</v>
      </c>
      <c r="G43" s="13">
        <f>-SUM(G38:G42)*$D$12</f>
        <v>-16000</v>
      </c>
      <c r="H43" s="13">
        <f>-SUM(H38:H42)*$D$12</f>
        <v>-16000</v>
      </c>
      <c r="I43" s="20">
        <f>-SUM(I38:I42)*$D$12</f>
        <v>-10000</v>
      </c>
    </row>
    <row r="44" spans="2:9" x14ac:dyDescent="0.25">
      <c r="C44" s="31" t="s">
        <v>28</v>
      </c>
      <c r="D44" s="32"/>
      <c r="E44" s="32">
        <f>SUM(E38:E43)</f>
        <v>24000</v>
      </c>
      <c r="F44" s="32">
        <f t="shared" ref="F44" si="4">SUM(F38:F43)</f>
        <v>24000</v>
      </c>
      <c r="G44" s="32">
        <f t="shared" ref="G44" si="5">SUM(G38:G43)</f>
        <v>24000</v>
      </c>
      <c r="H44" s="32">
        <f t="shared" ref="H44" si="6">SUM(H38:H43)</f>
        <v>24000</v>
      </c>
      <c r="I44" s="33">
        <f t="shared" ref="I44" si="7">SUM(I38:I43)</f>
        <v>15000</v>
      </c>
    </row>
    <row r="46" spans="2:9" x14ac:dyDescent="0.25">
      <c r="C46" s="27" t="s">
        <v>176</v>
      </c>
      <c r="D46" s="28" t="s">
        <v>34</v>
      </c>
      <c r="E46" s="28" t="s">
        <v>39</v>
      </c>
      <c r="F46" s="28" t="s">
        <v>40</v>
      </c>
      <c r="G46" s="28" t="s">
        <v>41</v>
      </c>
      <c r="H46" s="28" t="s">
        <v>42</v>
      </c>
      <c r="I46" s="29" t="s">
        <v>43</v>
      </c>
    </row>
    <row r="47" spans="2:9" x14ac:dyDescent="0.25">
      <c r="C47" s="19" t="s">
        <v>54</v>
      </c>
      <c r="D47" s="13"/>
      <c r="E47" s="13">
        <f>+E44</f>
        <v>24000</v>
      </c>
      <c r="F47" s="13">
        <f t="shared" ref="F47:I47" si="8">+F44</f>
        <v>24000</v>
      </c>
      <c r="G47" s="13">
        <f t="shared" si="8"/>
        <v>24000</v>
      </c>
      <c r="H47" s="13">
        <f t="shared" si="8"/>
        <v>24000</v>
      </c>
      <c r="I47" s="20">
        <f t="shared" si="8"/>
        <v>15000</v>
      </c>
    </row>
    <row r="48" spans="2:9" x14ac:dyDescent="0.25">
      <c r="C48" s="19" t="s">
        <v>55</v>
      </c>
      <c r="D48" s="13"/>
      <c r="E48" s="13">
        <f>-E42</f>
        <v>60000</v>
      </c>
      <c r="F48" s="13">
        <f t="shared" ref="F48:H48" si="9">-F42</f>
        <v>60000</v>
      </c>
      <c r="G48" s="13">
        <f t="shared" si="9"/>
        <v>60000</v>
      </c>
      <c r="H48" s="13">
        <f t="shared" si="9"/>
        <v>60000</v>
      </c>
      <c r="I48" s="20"/>
    </row>
    <row r="49" spans="2:13" x14ac:dyDescent="0.25">
      <c r="C49" s="19" t="s">
        <v>303</v>
      </c>
      <c r="D49" s="13"/>
      <c r="E49" s="13"/>
      <c r="F49" s="13"/>
      <c r="G49" s="13"/>
      <c r="H49" s="13"/>
      <c r="I49" s="20">
        <v>0</v>
      </c>
    </row>
    <row r="50" spans="2:13" x14ac:dyDescent="0.25">
      <c r="C50" s="19" t="s">
        <v>304</v>
      </c>
      <c r="D50" s="13"/>
      <c r="E50" s="13"/>
      <c r="F50" s="13"/>
      <c r="G50" s="13"/>
      <c r="H50" s="13"/>
      <c r="I50" s="20">
        <f>+D10</f>
        <v>20000</v>
      </c>
    </row>
    <row r="51" spans="2:13" x14ac:dyDescent="0.25">
      <c r="C51" s="19" t="s">
        <v>19</v>
      </c>
      <c r="D51" s="13">
        <f>-D9-D10</f>
        <v>-260000</v>
      </c>
      <c r="E51" s="13"/>
      <c r="F51" s="13"/>
      <c r="G51" s="13"/>
      <c r="H51" s="13"/>
      <c r="I51" s="20"/>
    </row>
    <row r="52" spans="2:13" x14ac:dyDescent="0.25">
      <c r="C52" s="31" t="s">
        <v>85</v>
      </c>
      <c r="D52" s="32">
        <f>SUM(D47:D51)</f>
        <v>-260000</v>
      </c>
      <c r="E52" s="32">
        <f t="shared" ref="E52" si="10">SUM(E47:E51)</f>
        <v>84000</v>
      </c>
      <c r="F52" s="32">
        <f t="shared" ref="F52" si="11">SUM(F47:F51)</f>
        <v>84000</v>
      </c>
      <c r="G52" s="32">
        <f t="shared" ref="G52" si="12">SUM(G47:G51)</f>
        <v>84000</v>
      </c>
      <c r="H52" s="32">
        <f t="shared" ref="H52" si="13">SUM(H47:H51)</f>
        <v>84000</v>
      </c>
      <c r="I52" s="33">
        <f t="shared" ref="I52" si="14">SUM(I47:I51)</f>
        <v>35000</v>
      </c>
    </row>
    <row r="54" spans="2:13" x14ac:dyDescent="0.25">
      <c r="C54" s="27" t="s">
        <v>27</v>
      </c>
      <c r="D54" s="30">
        <f>+D52+NPV(D13,E52:I52)</f>
        <v>28000.943800411012</v>
      </c>
    </row>
    <row r="56" spans="2:13" x14ac:dyDescent="0.25">
      <c r="B56" s="11" t="s">
        <v>107</v>
      </c>
      <c r="C56" s="610" t="s">
        <v>401</v>
      </c>
      <c r="D56" s="611"/>
      <c r="E56" s="611"/>
      <c r="F56" s="612"/>
      <c r="G56" s="52"/>
    </row>
    <row r="57" spans="2:13" ht="27.6" x14ac:dyDescent="0.25">
      <c r="C57" s="558"/>
      <c r="D57" s="559" t="s">
        <v>361</v>
      </c>
      <c r="E57" s="560" t="s">
        <v>158</v>
      </c>
      <c r="F57" s="559" t="s">
        <v>362</v>
      </c>
      <c r="I57" s="287"/>
      <c r="J57" s="287"/>
      <c r="K57" s="287"/>
      <c r="L57" s="287"/>
      <c r="M57" s="13"/>
    </row>
    <row r="58" spans="2:13" x14ac:dyDescent="0.25">
      <c r="C58" s="288">
        <v>1.3</v>
      </c>
      <c r="D58" s="289">
        <v>146870.9</v>
      </c>
      <c r="E58" s="289">
        <v>78343.100000000006</v>
      </c>
      <c r="F58" s="289">
        <v>53469.3</v>
      </c>
      <c r="I58" s="290"/>
      <c r="J58" s="290"/>
      <c r="K58" s="290"/>
      <c r="L58" s="290"/>
      <c r="M58" s="13"/>
    </row>
    <row r="59" spans="2:13" x14ac:dyDescent="0.25">
      <c r="C59" s="288">
        <v>1.2</v>
      </c>
      <c r="D59" s="289">
        <v>123096.9</v>
      </c>
      <c r="E59" s="289">
        <v>77411.7</v>
      </c>
      <c r="F59" s="289">
        <v>60557.5</v>
      </c>
      <c r="I59" s="291"/>
      <c r="J59" s="13"/>
      <c r="K59" s="13"/>
      <c r="L59" s="13"/>
      <c r="M59" s="13"/>
    </row>
    <row r="60" spans="2:13" x14ac:dyDescent="0.25">
      <c r="C60" s="288">
        <v>1.1000000000000001</v>
      </c>
      <c r="D60" s="289">
        <v>99322.9</v>
      </c>
      <c r="E60" s="289">
        <v>76480.3</v>
      </c>
      <c r="F60" s="289">
        <v>67912.899999999994</v>
      </c>
      <c r="I60" s="291"/>
      <c r="J60" s="292"/>
      <c r="K60" s="292"/>
      <c r="L60" s="292"/>
      <c r="M60" s="13"/>
    </row>
    <row r="61" spans="2:13" x14ac:dyDescent="0.25">
      <c r="C61" s="288">
        <v>1</v>
      </c>
      <c r="D61" s="293">
        <v>75548.899999999994</v>
      </c>
      <c r="E61" s="293">
        <v>75548.899999999994</v>
      </c>
      <c r="F61" s="293">
        <v>75548.899999999994</v>
      </c>
      <c r="I61" s="291"/>
      <c r="J61" s="13"/>
      <c r="K61" s="13"/>
      <c r="L61" s="13"/>
      <c r="M61" s="13"/>
    </row>
    <row r="62" spans="2:13" x14ac:dyDescent="0.25">
      <c r="C62" s="288">
        <v>0.9</v>
      </c>
      <c r="D62" s="294">
        <v>51774.9</v>
      </c>
      <c r="E62" s="294">
        <v>74617.5</v>
      </c>
      <c r="F62" s="294">
        <v>83479.899999999994</v>
      </c>
      <c r="I62" s="291"/>
      <c r="J62" s="292"/>
      <c r="K62" s="292"/>
      <c r="L62" s="292"/>
      <c r="M62" s="13"/>
    </row>
    <row r="63" spans="2:13" x14ac:dyDescent="0.25">
      <c r="C63" s="288">
        <v>0.8</v>
      </c>
      <c r="D63" s="294">
        <v>28000.9</v>
      </c>
      <c r="E63" s="294">
        <v>73686.2</v>
      </c>
      <c r="F63" s="294">
        <v>91721</v>
      </c>
      <c r="I63" s="291"/>
      <c r="J63" s="13"/>
      <c r="K63" s="13"/>
      <c r="L63" s="13"/>
      <c r="M63" s="13"/>
    </row>
    <row r="64" spans="2:13" x14ac:dyDescent="0.25">
      <c r="C64" s="288">
        <v>0.7</v>
      </c>
      <c r="D64" s="294">
        <v>4227</v>
      </c>
      <c r="E64" s="294">
        <v>72754.8</v>
      </c>
      <c r="F64" s="294">
        <v>100288.4</v>
      </c>
      <c r="I64" s="291"/>
      <c r="J64" s="292"/>
      <c r="K64" s="292"/>
      <c r="L64" s="292"/>
      <c r="M64" s="13"/>
    </row>
    <row r="65" spans="3:13" x14ac:dyDescent="0.25">
      <c r="I65" s="295"/>
      <c r="J65" s="13"/>
      <c r="K65" s="13"/>
      <c r="L65" s="13"/>
      <c r="M65" s="13"/>
    </row>
    <row r="66" spans="3:13" x14ac:dyDescent="0.25">
      <c r="I66" s="291"/>
      <c r="J66" s="292"/>
      <c r="K66" s="292"/>
      <c r="L66" s="292"/>
      <c r="M66" s="13"/>
    </row>
    <row r="67" spans="3:13" x14ac:dyDescent="0.25">
      <c r="C67" s="610" t="s">
        <v>323</v>
      </c>
      <c r="D67" s="611"/>
      <c r="E67" s="611"/>
      <c r="F67" s="612"/>
      <c r="I67" s="291"/>
      <c r="J67" s="13"/>
      <c r="K67" s="13"/>
      <c r="L67" s="13"/>
      <c r="M67" s="13"/>
    </row>
    <row r="68" spans="3:13" ht="27.6" x14ac:dyDescent="0.25">
      <c r="C68" s="558"/>
      <c r="D68" s="559" t="s">
        <v>361</v>
      </c>
      <c r="E68" s="560" t="s">
        <v>158</v>
      </c>
      <c r="F68" s="559" t="s">
        <v>362</v>
      </c>
      <c r="I68" s="291"/>
      <c r="J68" s="292"/>
      <c r="K68" s="292"/>
      <c r="L68" s="292"/>
      <c r="M68" s="13"/>
    </row>
    <row r="69" spans="3:13" x14ac:dyDescent="0.25">
      <c r="C69" s="288">
        <v>1.3</v>
      </c>
      <c r="D69" s="289">
        <f>+D58*100/$D$61</f>
        <v>194.40508068284251</v>
      </c>
      <c r="E69" s="289">
        <f>+E58*100/$E$61</f>
        <v>103.69853167948179</v>
      </c>
      <c r="F69" s="289">
        <f>+F58*100/$F$61</f>
        <v>70.774425570723068</v>
      </c>
      <c r="I69" s="291"/>
      <c r="J69" s="13"/>
      <c r="K69" s="13"/>
      <c r="L69" s="13"/>
      <c r="M69" s="13"/>
    </row>
    <row r="70" spans="3:13" x14ac:dyDescent="0.25">
      <c r="C70" s="288">
        <v>1.2</v>
      </c>
      <c r="D70" s="289">
        <f t="shared" ref="D70:D75" si="15">+D59*100/$D$61</f>
        <v>162.93672045522834</v>
      </c>
      <c r="E70" s="289">
        <f t="shared" ref="E70:E75" si="16">+E59*100/$E$61</f>
        <v>102.46568778632118</v>
      </c>
      <c r="F70" s="289">
        <f t="shared" ref="F70:F75" si="17">+F59*100/$F$61</f>
        <v>80.156693214593474</v>
      </c>
      <c r="I70" s="291"/>
      <c r="J70" s="292"/>
      <c r="K70" s="292"/>
      <c r="L70" s="292"/>
      <c r="M70" s="13"/>
    </row>
    <row r="71" spans="3:13" x14ac:dyDescent="0.25">
      <c r="C71" s="288">
        <v>1.1000000000000001</v>
      </c>
      <c r="D71" s="289">
        <f t="shared" si="15"/>
        <v>131.46836022761417</v>
      </c>
      <c r="E71" s="289">
        <f t="shared" si="16"/>
        <v>101.23284389316059</v>
      </c>
      <c r="F71" s="289">
        <f t="shared" si="17"/>
        <v>89.89263907217709</v>
      </c>
      <c r="I71" s="291"/>
      <c r="J71" s="13"/>
      <c r="K71" s="13"/>
      <c r="L71" s="13"/>
      <c r="M71" s="13"/>
    </row>
    <row r="72" spans="3:13" x14ac:dyDescent="0.25">
      <c r="C72" s="288">
        <v>1</v>
      </c>
      <c r="D72" s="289">
        <f t="shared" si="15"/>
        <v>100</v>
      </c>
      <c r="E72" s="289">
        <f t="shared" si="16"/>
        <v>100</v>
      </c>
      <c r="F72" s="289">
        <f t="shared" si="17"/>
        <v>100</v>
      </c>
      <c r="I72" s="13"/>
      <c r="J72" s="13"/>
      <c r="K72" s="13"/>
      <c r="L72" s="13"/>
      <c r="M72" s="13"/>
    </row>
    <row r="73" spans="3:13" x14ac:dyDescent="0.25">
      <c r="C73" s="288">
        <v>0.9</v>
      </c>
      <c r="D73" s="289">
        <f t="shared" si="15"/>
        <v>68.531639772385844</v>
      </c>
      <c r="E73" s="289">
        <f t="shared" si="16"/>
        <v>98.767156106839423</v>
      </c>
      <c r="F73" s="289">
        <f t="shared" si="17"/>
        <v>110.49783650059763</v>
      </c>
    </row>
    <row r="74" spans="3:13" x14ac:dyDescent="0.25">
      <c r="C74" s="288">
        <v>0.8</v>
      </c>
      <c r="D74" s="289">
        <f t="shared" si="15"/>
        <v>37.063279544771667</v>
      </c>
      <c r="E74" s="289">
        <f t="shared" si="16"/>
        <v>97.534444578279775</v>
      </c>
      <c r="F74" s="289">
        <f t="shared" si="17"/>
        <v>121.40613562871201</v>
      </c>
    </row>
    <row r="75" spans="3:13" x14ac:dyDescent="0.25">
      <c r="C75" s="288">
        <v>0.7</v>
      </c>
      <c r="D75" s="289">
        <f t="shared" si="15"/>
        <v>5.5950516817584379</v>
      </c>
      <c r="E75" s="289">
        <f t="shared" si="16"/>
        <v>96.301600685119183</v>
      </c>
      <c r="F75" s="289">
        <f t="shared" si="17"/>
        <v>132.74634044969551</v>
      </c>
    </row>
    <row r="78" spans="3:13" x14ac:dyDescent="0.25">
      <c r="C78" s="36"/>
      <c r="D78" s="28" t="s">
        <v>257</v>
      </c>
      <c r="E78" s="29" t="s">
        <v>159</v>
      </c>
    </row>
    <row r="79" spans="3:13" x14ac:dyDescent="0.25">
      <c r="C79" s="19" t="s">
        <v>404</v>
      </c>
      <c r="D79" s="13">
        <v>85277.53</v>
      </c>
      <c r="E79" s="22">
        <f>+(D79/E7)-1</f>
        <v>-0.31777975999999997</v>
      </c>
    </row>
    <row r="80" spans="3:13" x14ac:dyDescent="0.25">
      <c r="C80" s="19" t="s">
        <v>158</v>
      </c>
      <c r="D80" s="13">
        <v>-177787.17</v>
      </c>
      <c r="E80" s="22">
        <f>+(D80/E11)-1</f>
        <v>-8.1114868000000016</v>
      </c>
    </row>
    <row r="81" spans="2:10" x14ac:dyDescent="0.25">
      <c r="C81" s="23" t="s">
        <v>366</v>
      </c>
      <c r="D81" s="561">
        <v>0.21959999999999999</v>
      </c>
      <c r="E81" s="24">
        <f>+(D81/D13)-1</f>
        <v>1.1959999999999997</v>
      </c>
    </row>
    <row r="82" spans="2:10" x14ac:dyDescent="0.25">
      <c r="D82" s="7"/>
    </row>
    <row r="85" spans="2:10" x14ac:dyDescent="0.25">
      <c r="B85" s="140" t="s">
        <v>111</v>
      </c>
      <c r="C85" s="562"/>
      <c r="D85" s="28" t="s">
        <v>267</v>
      </c>
      <c r="E85" s="28" t="s">
        <v>192</v>
      </c>
      <c r="F85" s="29" t="s">
        <v>191</v>
      </c>
    </row>
    <row r="86" spans="2:10" x14ac:dyDescent="0.25">
      <c r="B86" s="13"/>
      <c r="C86" s="19" t="s">
        <v>268</v>
      </c>
      <c r="D86" s="45">
        <v>0.5</v>
      </c>
      <c r="E86" s="45">
        <v>0.25</v>
      </c>
      <c r="F86" s="22">
        <v>0.25</v>
      </c>
    </row>
    <row r="87" spans="2:10" x14ac:dyDescent="0.25">
      <c r="B87" s="13"/>
      <c r="C87" s="23"/>
      <c r="D87" s="171">
        <f>+'Escenario Ejercicio 7'!E9</f>
        <v>75548.925495650401</v>
      </c>
      <c r="E87" s="171">
        <f>+'Escenario Ejercicio 7'!F9</f>
        <v>123096.90719088999</v>
      </c>
      <c r="F87" s="172">
        <f>+'Escenario Ejercicio 7'!G9</f>
        <v>8981.7511223152396</v>
      </c>
    </row>
    <row r="88" spans="2:10" x14ac:dyDescent="0.25">
      <c r="B88" s="13"/>
      <c r="C88" s="13"/>
      <c r="D88" s="13"/>
      <c r="E88" s="13"/>
      <c r="F88" s="13"/>
    </row>
    <row r="89" spans="2:10" x14ac:dyDescent="0.25">
      <c r="C89" s="168" t="s">
        <v>92</v>
      </c>
      <c r="D89" s="30">
        <f>+D86*D87+E86*E87+F86*F87</f>
        <v>70794.127326126516</v>
      </c>
    </row>
    <row r="91" spans="2:10" x14ac:dyDescent="0.25">
      <c r="B91" s="11" t="s">
        <v>255</v>
      </c>
      <c r="C91" s="563"/>
      <c r="D91" s="108">
        <f>+(D87-$D$89)^2*D86</f>
        <v>11304052.816453844</v>
      </c>
      <c r="E91" s="108">
        <f>+(E87-$D$89)^2*E86</f>
        <v>683895195.39547694</v>
      </c>
      <c r="F91" s="108">
        <f>+(F87-$D$89)^2*F86</f>
        <v>955192462.99037361</v>
      </c>
    </row>
    <row r="92" spans="2:10" ht="15.6" x14ac:dyDescent="0.25">
      <c r="C92" s="249" t="s">
        <v>437</v>
      </c>
      <c r="D92" s="249"/>
      <c r="E92" s="249"/>
      <c r="F92" s="249">
        <f>SUM(D91:F91)</f>
        <v>1650391711.2023044</v>
      </c>
    </row>
    <row r="93" spans="2:10" ht="14.4" x14ac:dyDescent="0.3">
      <c r="C93" s="249" t="s">
        <v>307</v>
      </c>
      <c r="D93" s="249"/>
      <c r="E93" s="249"/>
      <c r="F93" s="249">
        <f>+F92^0.5</f>
        <v>40625.013368641543</v>
      </c>
    </row>
    <row r="94" spans="2:10" x14ac:dyDescent="0.25">
      <c r="C94" s="81" t="s">
        <v>93</v>
      </c>
      <c r="D94" s="81"/>
      <c r="E94" s="81"/>
      <c r="F94" s="249">
        <f>+F93/D89</f>
        <v>0.57384722296942436</v>
      </c>
    </row>
    <row r="96" spans="2:10" x14ac:dyDescent="0.25">
      <c r="C96" s="36"/>
      <c r="D96" s="192" t="s">
        <v>370</v>
      </c>
      <c r="E96" s="192" t="s">
        <v>371</v>
      </c>
      <c r="F96" s="192" t="s">
        <v>369</v>
      </c>
      <c r="G96" s="104" t="s">
        <v>92</v>
      </c>
      <c r="H96" s="192" t="s">
        <v>372</v>
      </c>
      <c r="I96" s="192" t="s">
        <v>373</v>
      </c>
      <c r="J96" s="193" t="s">
        <v>374</v>
      </c>
    </row>
    <row r="97" spans="2:10" x14ac:dyDescent="0.25">
      <c r="C97" s="194">
        <v>0.68259999999999998</v>
      </c>
      <c r="D97" s="13"/>
      <c r="E97" s="195"/>
      <c r="F97" s="13">
        <f>+G97-F93</f>
        <v>30169.113957484973</v>
      </c>
      <c r="G97" s="13">
        <f>+D89</f>
        <v>70794.127326126516</v>
      </c>
      <c r="H97" s="13">
        <f>+G97+F93</f>
        <v>111419.14069476805</v>
      </c>
      <c r="I97" s="195"/>
      <c r="J97" s="20"/>
    </row>
    <row r="98" spans="2:10" x14ac:dyDescent="0.25">
      <c r="C98" s="194">
        <v>0.95440000000000003</v>
      </c>
      <c r="D98" s="195"/>
      <c r="E98" s="13">
        <f>+G97-2*F93</f>
        <v>-10455.89941115657</v>
      </c>
      <c r="F98" s="13"/>
      <c r="G98" s="13"/>
      <c r="H98" s="13"/>
      <c r="I98" s="13">
        <f>+G97+2*F93</f>
        <v>152044.1540634096</v>
      </c>
      <c r="J98" s="196"/>
    </row>
    <row r="99" spans="2:10" x14ac:dyDescent="0.25">
      <c r="C99" s="197">
        <v>0.99739999999999995</v>
      </c>
      <c r="D99" s="43">
        <f>+G97-3*F93</f>
        <v>-51080.912779798105</v>
      </c>
      <c r="E99" s="43"/>
      <c r="F99" s="43"/>
      <c r="G99" s="43"/>
      <c r="H99" s="43"/>
      <c r="I99" s="43"/>
      <c r="J99" s="122">
        <f>+G97+3*F93</f>
        <v>192669.16743205115</v>
      </c>
    </row>
    <row r="100" spans="2:10" x14ac:dyDescent="0.25">
      <c r="C100" s="15"/>
    </row>
    <row r="101" spans="2:10" x14ac:dyDescent="0.25">
      <c r="H101" s="13"/>
    </row>
    <row r="102" spans="2:10" x14ac:dyDescent="0.25">
      <c r="B102" s="296" t="s">
        <v>293</v>
      </c>
      <c r="C102" s="77" t="s">
        <v>428</v>
      </c>
      <c r="D102" s="187">
        <f>+D89/F93</f>
        <v>1.7426240991903899</v>
      </c>
    </row>
    <row r="103" spans="2:10" x14ac:dyDescent="0.25">
      <c r="C103" s="188" t="s">
        <v>341</v>
      </c>
      <c r="D103" s="189">
        <f>+(D102-1)*13.59%</f>
        <v>0.10092261507997398</v>
      </c>
    </row>
    <row r="104" spans="2:10" x14ac:dyDescent="0.25">
      <c r="C104" s="190" t="s">
        <v>301</v>
      </c>
      <c r="D104" s="191">
        <f>50%+34.13%+D103</f>
        <v>0.94222261507997407</v>
      </c>
    </row>
  </sheetData>
  <sheetProtection algorithmName="SHA-512" hashValue="vFQaiUO0HkRPlBxMLZ7h5XJyFjYekYChDDNYxEN/eoL8dwmix8n75QrzcGQ3Lg6SmIy6lUGqqbtRaspvAHqcyw==" saltValue="c21WUVAC4owSwVYB+IC+gA==" spinCount="100000" sheet="1" objects="1" scenarios="1"/>
  <scenarios current="0" sqref="C114">
    <scenario name="optimista" locked="1" count="1" user="usuario" comment="Creado por usuario el 9/04/2020">
      <inputCells r="E7" val="150000" numFmtId="4"/>
    </scenario>
    <scenario name="pesimista" locked="1" count="1" user="usuario" comment="Creado por usuario el 9/04/2020">
      <inputCells r="E7" val="90000" numFmtId="4"/>
    </scenario>
  </scenarios>
  <mergeCells count="4">
    <mergeCell ref="C56:F56"/>
    <mergeCell ref="C67:F67"/>
    <mergeCell ref="C4:E4"/>
    <mergeCell ref="C1:J1"/>
  </mergeCells>
  <phoneticPr fontId="3" type="noConversion"/>
  <hyperlinks>
    <hyperlink ref="C35" r:id="rId1" display="VPN@10%" xr:uid="{00000000-0004-0000-0900-000000000000}"/>
    <hyperlink ref="C54" r:id="rId2" display="VPN@10%" xr:uid="{00000000-0004-0000-0900-000001000000}"/>
  </hyperlinks>
  <pageMargins left="0.7" right="0.7" top="0.75" bottom="0.75" header="0.3" footer="0.3"/>
  <pageSetup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C1:H12"/>
  <sheetViews>
    <sheetView showGridLines="0" zoomScaleNormal="100" workbookViewId="0">
      <selection activeCell="C1" sqref="C1:H1"/>
    </sheetView>
  </sheetViews>
  <sheetFormatPr baseColWidth="10" defaultColWidth="11.5546875" defaultRowHeight="13.8" outlineLevelRow="1" outlineLevelCol="1" x14ac:dyDescent="0.25"/>
  <cols>
    <col min="1" max="1" width="17" style="204" customWidth="1"/>
    <col min="2" max="2" width="6.44140625" style="204" customWidth="1"/>
    <col min="3" max="3" width="11.5546875" style="204"/>
    <col min="4" max="4" width="13" style="204" customWidth="1"/>
    <col min="5" max="7" width="14.5546875" style="204" bestFit="1" customWidth="1" outlineLevel="1"/>
    <col min="8" max="8" width="16.5546875" style="204" customWidth="1"/>
    <col min="9" max="16384" width="11.5546875" style="204"/>
  </cols>
  <sheetData>
    <row r="1" spans="3:8" ht="19.95" customHeight="1" x14ac:dyDescent="0.25">
      <c r="C1" s="601" t="s">
        <v>465</v>
      </c>
      <c r="D1" s="601"/>
      <c r="E1" s="601"/>
      <c r="F1" s="601"/>
      <c r="G1" s="601"/>
      <c r="H1" s="601"/>
    </row>
    <row r="3" spans="3:8" x14ac:dyDescent="0.25">
      <c r="C3" s="283" t="s">
        <v>283</v>
      </c>
      <c r="D3" s="284"/>
      <c r="E3" s="285"/>
      <c r="F3" s="285"/>
      <c r="G3" s="286"/>
    </row>
    <row r="4" spans="3:8" collapsed="1" x14ac:dyDescent="0.25">
      <c r="C4" s="258"/>
      <c r="D4" s="256"/>
      <c r="E4" s="257" t="s">
        <v>190</v>
      </c>
      <c r="F4" s="257" t="s">
        <v>192</v>
      </c>
      <c r="G4" s="259" t="s">
        <v>191</v>
      </c>
    </row>
    <row r="5" spans="3:8" ht="41.4" hidden="1" outlineLevel="1" x14ac:dyDescent="0.25">
      <c r="C5" s="216"/>
      <c r="D5" s="205"/>
      <c r="E5" s="206"/>
      <c r="F5" s="207" t="s">
        <v>282</v>
      </c>
      <c r="G5" s="217" t="s">
        <v>282</v>
      </c>
    </row>
    <row r="6" spans="3:8" x14ac:dyDescent="0.25">
      <c r="C6" s="271" t="s">
        <v>194</v>
      </c>
      <c r="D6" s="272"/>
      <c r="E6" s="273"/>
      <c r="F6" s="273"/>
      <c r="G6" s="274"/>
    </row>
    <row r="7" spans="3:8" outlineLevel="1" x14ac:dyDescent="0.25">
      <c r="C7" s="260"/>
      <c r="D7" s="261" t="s">
        <v>305</v>
      </c>
      <c r="E7" s="143">
        <v>125000</v>
      </c>
      <c r="F7" s="281">
        <v>150000</v>
      </c>
      <c r="G7" s="282">
        <v>90000</v>
      </c>
    </row>
    <row r="8" spans="3:8" x14ac:dyDescent="0.25">
      <c r="C8" s="271" t="s">
        <v>200</v>
      </c>
      <c r="D8" s="272"/>
      <c r="E8" s="273"/>
      <c r="F8" s="273"/>
      <c r="G8" s="274"/>
    </row>
    <row r="9" spans="3:8" outlineLevel="1" x14ac:dyDescent="0.25">
      <c r="C9" s="269"/>
      <c r="D9" s="270" t="s">
        <v>306</v>
      </c>
      <c r="E9" s="171">
        <v>75548.925495650401</v>
      </c>
      <c r="F9" s="171">
        <v>123096.90719088999</v>
      </c>
      <c r="G9" s="172">
        <v>8981.7511223152396</v>
      </c>
    </row>
    <row r="10" spans="3:8" x14ac:dyDescent="0.25">
      <c r="C10" s="204" t="s">
        <v>202</v>
      </c>
    </row>
    <row r="11" spans="3:8" x14ac:dyDescent="0.25">
      <c r="C11" s="204" t="s">
        <v>203</v>
      </c>
    </row>
    <row r="12" spans="3:8" x14ac:dyDescent="0.25">
      <c r="C12" s="204" t="s">
        <v>204</v>
      </c>
    </row>
  </sheetData>
  <sheetProtection algorithmName="SHA-512" hashValue="w3UOU7o50SbP9uQVNDEz9gv2tA0OAwrXGy9bl44DRCP5g50AxYSzlRKI0NncpapXPb/FXmjgE81P5P/bCj1/3Q==" saltValue="M5Fns5XU3Zofzqx0ziW9Nw==" spinCount="100000" sheet="1" objects="1" scenarios="1"/>
  <mergeCells count="1">
    <mergeCell ref="C1:H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J82"/>
  <sheetViews>
    <sheetView zoomScaleNormal="100" workbookViewId="0">
      <selection activeCell="F80" sqref="F80"/>
    </sheetView>
  </sheetViews>
  <sheetFormatPr baseColWidth="10" defaultColWidth="11.44140625" defaultRowHeight="13.8" x14ac:dyDescent="0.25"/>
  <cols>
    <col min="1" max="1" width="21.44140625" style="46" customWidth="1"/>
    <col min="2" max="2" width="5" style="46" customWidth="1"/>
    <col min="3" max="3" width="20.109375" style="46" customWidth="1"/>
    <col min="4" max="4" width="14.6640625" style="46" customWidth="1"/>
    <col min="5" max="7" width="14.109375" style="46" customWidth="1"/>
    <col min="8" max="10" width="12.33203125" style="46" bestFit="1" customWidth="1"/>
    <col min="11" max="13" width="11.44140625" style="46"/>
    <col min="14" max="14" width="7" style="46" bestFit="1" customWidth="1"/>
    <col min="15" max="16" width="12.33203125" style="46" bestFit="1" customWidth="1"/>
    <col min="17" max="17" width="10.6640625" style="46" bestFit="1" customWidth="1"/>
    <col min="18" max="18" width="10.109375" style="46" bestFit="1" customWidth="1"/>
    <col min="19" max="21" width="11.6640625" style="46" bestFit="1" customWidth="1"/>
    <col min="22" max="16384" width="11.44140625" style="46"/>
  </cols>
  <sheetData>
    <row r="1" spans="3:10" ht="19.95" customHeight="1" x14ac:dyDescent="0.25">
      <c r="C1" s="601" t="s">
        <v>463</v>
      </c>
      <c r="D1" s="601"/>
      <c r="E1" s="601"/>
      <c r="F1" s="601"/>
      <c r="G1" s="601"/>
      <c r="H1" s="601"/>
      <c r="I1" s="601"/>
      <c r="J1" s="601"/>
    </row>
    <row r="3" spans="3:10" ht="14.4" customHeight="1" x14ac:dyDescent="0.25">
      <c r="C3" s="617" t="s">
        <v>275</v>
      </c>
      <c r="D3" s="618"/>
      <c r="E3" s="618"/>
      <c r="F3" s="619"/>
    </row>
    <row r="4" spans="3:10" x14ac:dyDescent="0.25">
      <c r="C4" s="620"/>
      <c r="D4" s="621"/>
      <c r="E4" s="621"/>
      <c r="F4" s="622"/>
    </row>
    <row r="5" spans="3:10" x14ac:dyDescent="0.25">
      <c r="C5" s="325" t="s">
        <v>398</v>
      </c>
      <c r="D5" s="13">
        <v>10000000</v>
      </c>
      <c r="E5" s="147"/>
      <c r="F5" s="336"/>
    </row>
    <row r="6" spans="3:10" x14ac:dyDescent="0.25">
      <c r="C6" s="325" t="s">
        <v>294</v>
      </c>
      <c r="D6" s="326">
        <v>0.15</v>
      </c>
      <c r="E6" s="147"/>
      <c r="F6" s="336"/>
    </row>
    <row r="7" spans="3:10" x14ac:dyDescent="0.25">
      <c r="C7" s="325" t="s">
        <v>295</v>
      </c>
      <c r="D7" s="13">
        <v>8000000</v>
      </c>
      <c r="E7" s="147"/>
      <c r="F7" s="336"/>
    </row>
    <row r="8" spans="3:10" x14ac:dyDescent="0.25">
      <c r="C8" s="522"/>
      <c r="D8" s="87" t="s">
        <v>39</v>
      </c>
      <c r="E8" s="87" t="s">
        <v>40</v>
      </c>
      <c r="F8" s="88" t="s">
        <v>41</v>
      </c>
    </row>
    <row r="9" spans="3:10" x14ac:dyDescent="0.25">
      <c r="C9" s="325" t="s">
        <v>52</v>
      </c>
      <c r="D9" s="326">
        <v>0.25</v>
      </c>
      <c r="E9" s="326">
        <v>0.38</v>
      </c>
      <c r="F9" s="521">
        <v>0.37</v>
      </c>
      <c r="H9" s="314"/>
    </row>
    <row r="10" spans="3:10" x14ac:dyDescent="0.25">
      <c r="C10" s="325" t="s">
        <v>78</v>
      </c>
      <c r="D10" s="45">
        <v>0.4</v>
      </c>
      <c r="E10" s="147"/>
      <c r="F10" s="336"/>
    </row>
    <row r="11" spans="3:10" x14ac:dyDescent="0.25">
      <c r="C11" s="325" t="s">
        <v>31</v>
      </c>
      <c r="D11" s="45">
        <v>0.11</v>
      </c>
      <c r="E11" s="147"/>
      <c r="F11" s="336"/>
    </row>
    <row r="12" spans="3:10" x14ac:dyDescent="0.25">
      <c r="C12" s="325" t="s">
        <v>309</v>
      </c>
      <c r="D12" s="514">
        <v>1</v>
      </c>
      <c r="E12" s="147"/>
      <c r="F12" s="336"/>
    </row>
    <row r="13" spans="3:10" x14ac:dyDescent="0.25">
      <c r="C13" s="327"/>
      <c r="D13" s="328"/>
      <c r="E13" s="337"/>
      <c r="F13" s="338"/>
    </row>
    <row r="15" spans="3:10" x14ac:dyDescent="0.25">
      <c r="C15" s="523" t="s">
        <v>114</v>
      </c>
      <c r="D15" s="616" t="s">
        <v>115</v>
      </c>
      <c r="E15" s="616"/>
      <c r="F15" s="616"/>
    </row>
    <row r="16" spans="3:10" ht="27.6" x14ac:dyDescent="0.25">
      <c r="C16" s="524" t="s">
        <v>116</v>
      </c>
      <c r="D16" s="524" t="s">
        <v>117</v>
      </c>
      <c r="E16" s="524" t="s">
        <v>118</v>
      </c>
      <c r="F16" s="524" t="s">
        <v>119</v>
      </c>
    </row>
    <row r="17" spans="2:6" x14ac:dyDescent="0.25">
      <c r="C17" s="515">
        <v>0.1</v>
      </c>
      <c r="D17" s="516">
        <v>1.7</v>
      </c>
      <c r="E17" s="516">
        <v>1.9</v>
      </c>
      <c r="F17" s="516">
        <v>2</v>
      </c>
    </row>
    <row r="18" spans="2:6" x14ac:dyDescent="0.25">
      <c r="C18" s="515">
        <v>0.2</v>
      </c>
      <c r="D18" s="516">
        <v>1.9</v>
      </c>
      <c r="E18" s="516">
        <v>2.1</v>
      </c>
      <c r="F18" s="516">
        <v>2.2000000000000002</v>
      </c>
    </row>
    <row r="19" spans="2:6" x14ac:dyDescent="0.25">
      <c r="C19" s="515">
        <v>0.3</v>
      </c>
      <c r="D19" s="516">
        <v>2</v>
      </c>
      <c r="E19" s="516">
        <v>2.2000000000000002</v>
      </c>
      <c r="F19" s="516">
        <v>2.2999999999999998</v>
      </c>
    </row>
    <row r="20" spans="2:6" x14ac:dyDescent="0.25">
      <c r="C20" s="515">
        <v>0.2</v>
      </c>
      <c r="D20" s="516">
        <v>2.2000000000000002</v>
      </c>
      <c r="E20" s="516">
        <v>2.4500000000000002</v>
      </c>
      <c r="F20" s="516">
        <v>2.5</v>
      </c>
    </row>
    <row r="21" spans="2:6" x14ac:dyDescent="0.25">
      <c r="C21" s="515">
        <v>0.2</v>
      </c>
      <c r="D21" s="516">
        <v>2.2999999999999998</v>
      </c>
      <c r="E21" s="516">
        <v>2.5499999999999998</v>
      </c>
      <c r="F21" s="516">
        <v>2.7</v>
      </c>
    </row>
    <row r="22" spans="2:6" x14ac:dyDescent="0.25">
      <c r="B22" s="517" t="s">
        <v>357</v>
      </c>
      <c r="C22" s="525" t="s">
        <v>359</v>
      </c>
      <c r="D22" s="527">
        <f>+(D17*$C$17+D18*$C$18+D19*$C$19+D20*$C$20+D21*$C$21)*$D$12</f>
        <v>2.0499999999999998</v>
      </c>
      <c r="E22" s="527">
        <f>+(E17*$C$17+E18*$C$18+E19*$C$19+E20*$C$20+E21*$C$21)*$D$12</f>
        <v>2.27</v>
      </c>
      <c r="F22" s="526">
        <f>+(F17*$C$17+F18*$C$18+F19*$C$19+F20*$C$20+F21*$C$21)*$D$12</f>
        <v>2.37</v>
      </c>
    </row>
    <row r="23" spans="2:6" ht="19.95" customHeight="1" x14ac:dyDescent="0.25">
      <c r="C23" s="518"/>
    </row>
    <row r="24" spans="2:6" x14ac:dyDescent="0.25">
      <c r="C24" s="518"/>
    </row>
    <row r="25" spans="2:6" ht="13.95" customHeight="1" x14ac:dyDescent="0.25">
      <c r="C25" s="523" t="s">
        <v>120</v>
      </c>
      <c r="D25" s="616" t="s">
        <v>115</v>
      </c>
      <c r="E25" s="616"/>
      <c r="F25" s="616"/>
    </row>
    <row r="26" spans="2:6" ht="27.6" x14ac:dyDescent="0.25">
      <c r="C26" s="524" t="s">
        <v>116</v>
      </c>
      <c r="D26" s="524" t="s">
        <v>117</v>
      </c>
      <c r="E26" s="524" t="s">
        <v>118</v>
      </c>
      <c r="F26" s="524" t="s">
        <v>119</v>
      </c>
    </row>
    <row r="27" spans="2:6" x14ac:dyDescent="0.25">
      <c r="C27" s="515">
        <v>0.1</v>
      </c>
      <c r="D27" s="516">
        <v>2.2999999999999998</v>
      </c>
      <c r="E27" s="516">
        <v>2.5</v>
      </c>
      <c r="F27" s="516">
        <v>2.9</v>
      </c>
    </row>
    <row r="28" spans="2:6" x14ac:dyDescent="0.25">
      <c r="C28" s="515">
        <v>0.3</v>
      </c>
      <c r="D28" s="516">
        <v>2.4</v>
      </c>
      <c r="E28" s="516">
        <v>2.7</v>
      </c>
      <c r="F28" s="516">
        <v>3.2</v>
      </c>
    </row>
    <row r="29" spans="2:6" x14ac:dyDescent="0.25">
      <c r="C29" s="515">
        <v>0.4</v>
      </c>
      <c r="D29" s="516">
        <v>2.9</v>
      </c>
      <c r="E29" s="516">
        <v>3.3</v>
      </c>
      <c r="F29" s="516">
        <v>3.7</v>
      </c>
    </row>
    <row r="30" spans="2:6" x14ac:dyDescent="0.25">
      <c r="C30" s="515">
        <v>0.2</v>
      </c>
      <c r="D30" s="516">
        <v>3.2</v>
      </c>
      <c r="E30" s="516">
        <v>3.5</v>
      </c>
      <c r="F30" s="516">
        <v>4</v>
      </c>
    </row>
    <row r="31" spans="2:6" x14ac:dyDescent="0.25">
      <c r="B31" s="519" t="s">
        <v>358</v>
      </c>
      <c r="C31" s="528" t="s">
        <v>360</v>
      </c>
      <c r="D31" s="527">
        <f>+(D27*$C$27+D28*$C$28+D29*$C$29+D30*$C$30)*$D$12</f>
        <v>2.75</v>
      </c>
      <c r="E31" s="527">
        <f>+(E27*$C$27+E28*$C$28+E29*$C$29+E30*$C$30)*$D$12</f>
        <v>3.08</v>
      </c>
      <c r="F31" s="529">
        <f>+(F27*$C$27+F28*$C$28+F29*$C$29+F30*$C$30)*$D$12</f>
        <v>3.5300000000000002</v>
      </c>
    </row>
    <row r="33" spans="2:9" x14ac:dyDescent="0.25">
      <c r="B33" s="519" t="s">
        <v>106</v>
      </c>
      <c r="C33" s="532"/>
      <c r="D33" s="530" t="s">
        <v>39</v>
      </c>
      <c r="E33" s="530" t="s">
        <v>40</v>
      </c>
      <c r="F33" s="531" t="s">
        <v>41</v>
      </c>
    </row>
    <row r="34" spans="2:9" x14ac:dyDescent="0.25">
      <c r="C34" s="533" t="s">
        <v>296</v>
      </c>
      <c r="D34" s="199">
        <f>+$D$5*$D$6*D22</f>
        <v>3074999.9999999995</v>
      </c>
      <c r="E34" s="199">
        <f t="shared" ref="E34:F34" si="0">+$D$5*$D$6*E22</f>
        <v>3405000</v>
      </c>
      <c r="F34" s="201">
        <f t="shared" si="0"/>
        <v>3555000</v>
      </c>
    </row>
    <row r="35" spans="2:9" x14ac:dyDescent="0.25">
      <c r="C35" s="327" t="s">
        <v>297</v>
      </c>
      <c r="D35" s="43">
        <f>+$D$5*$D$6*D31</f>
        <v>4125000</v>
      </c>
      <c r="E35" s="43">
        <f t="shared" ref="E35:F35" si="1">+$D$5*$D$6*E31</f>
        <v>4620000</v>
      </c>
      <c r="F35" s="122">
        <f t="shared" si="1"/>
        <v>5295000</v>
      </c>
    </row>
    <row r="37" spans="2:9" x14ac:dyDescent="0.25">
      <c r="B37" s="316" t="s">
        <v>107</v>
      </c>
      <c r="C37" s="534" t="s">
        <v>296</v>
      </c>
      <c r="D37" s="535"/>
      <c r="E37" s="535"/>
      <c r="F37" s="535"/>
      <c r="G37" s="535"/>
    </row>
    <row r="38" spans="2:9" x14ac:dyDescent="0.25">
      <c r="C38" s="522" t="s">
        <v>171</v>
      </c>
      <c r="D38" s="539" t="s">
        <v>34</v>
      </c>
      <c r="E38" s="539" t="s">
        <v>39</v>
      </c>
      <c r="F38" s="539" t="s">
        <v>40</v>
      </c>
      <c r="G38" s="540" t="s">
        <v>41</v>
      </c>
    </row>
    <row r="39" spans="2:9" x14ac:dyDescent="0.25">
      <c r="C39" s="325" t="s">
        <v>123</v>
      </c>
      <c r="D39" s="147"/>
      <c r="E39" s="13">
        <f>+D34</f>
        <v>3074999.9999999995</v>
      </c>
      <c r="F39" s="13">
        <f>+E34</f>
        <v>3405000</v>
      </c>
      <c r="G39" s="20">
        <f>+F34</f>
        <v>3555000</v>
      </c>
    </row>
    <row r="40" spans="2:9" x14ac:dyDescent="0.25">
      <c r="C40" s="325" t="s">
        <v>124</v>
      </c>
      <c r="D40" s="147"/>
      <c r="E40" s="13">
        <f>-$D$7*D9</f>
        <v>-2000000</v>
      </c>
      <c r="F40" s="13">
        <f t="shared" ref="F40:G40" si="2">-$D$7*E9</f>
        <v>-3040000</v>
      </c>
      <c r="G40" s="20">
        <f t="shared" si="2"/>
        <v>-2960000</v>
      </c>
      <c r="I40" s="6"/>
    </row>
    <row r="41" spans="2:9" x14ac:dyDescent="0.25">
      <c r="C41" s="325" t="s">
        <v>125</v>
      </c>
      <c r="D41" s="147"/>
      <c r="E41" s="13">
        <f>-SUM(E39:E40)*$D$10</f>
        <v>-429999.99999999983</v>
      </c>
      <c r="F41" s="13">
        <f t="shared" ref="F41:G41" si="3">-SUM(F39:F40)*$D$10</f>
        <v>-146000</v>
      </c>
      <c r="G41" s="20">
        <f t="shared" si="3"/>
        <v>-238000</v>
      </c>
    </row>
    <row r="42" spans="2:9" x14ac:dyDescent="0.25">
      <c r="C42" s="536" t="s">
        <v>77</v>
      </c>
      <c r="D42" s="537"/>
      <c r="E42" s="32">
        <f>SUM(E39:E41)</f>
        <v>644999.99999999977</v>
      </c>
      <c r="F42" s="32">
        <f>SUM(F39:F41)</f>
        <v>219000</v>
      </c>
      <c r="G42" s="33">
        <f>SUM(G39:G41)</f>
        <v>357000</v>
      </c>
    </row>
    <row r="44" spans="2:9" x14ac:dyDescent="0.25">
      <c r="C44" s="532" t="s">
        <v>176</v>
      </c>
      <c r="D44" s="544" t="s">
        <v>34</v>
      </c>
      <c r="E44" s="544" t="s">
        <v>39</v>
      </c>
      <c r="F44" s="544" t="s">
        <v>40</v>
      </c>
      <c r="G44" s="545" t="s">
        <v>41</v>
      </c>
    </row>
    <row r="45" spans="2:9" x14ac:dyDescent="0.25">
      <c r="C45" s="325" t="s">
        <v>54</v>
      </c>
      <c r="D45" s="147"/>
      <c r="E45" s="13">
        <f>+E42</f>
        <v>644999.99999999977</v>
      </c>
      <c r="F45" s="13">
        <f>+F42</f>
        <v>219000</v>
      </c>
      <c r="G45" s="20">
        <f>+G42</f>
        <v>357000</v>
      </c>
    </row>
    <row r="46" spans="2:9" x14ac:dyDescent="0.25">
      <c r="C46" s="325" t="s">
        <v>100</v>
      </c>
      <c r="D46" s="147"/>
      <c r="E46" s="13">
        <f>-E40</f>
        <v>2000000</v>
      </c>
      <c r="F46" s="13">
        <f>-F40</f>
        <v>3040000</v>
      </c>
      <c r="G46" s="20">
        <f>-G40</f>
        <v>2960000</v>
      </c>
    </row>
    <row r="47" spans="2:9" x14ac:dyDescent="0.25">
      <c r="C47" s="325" t="s">
        <v>19</v>
      </c>
      <c r="D47" s="13">
        <f>-D7</f>
        <v>-8000000</v>
      </c>
      <c r="E47" s="13"/>
      <c r="F47" s="13"/>
      <c r="G47" s="20"/>
    </row>
    <row r="48" spans="2:9" x14ac:dyDescent="0.25">
      <c r="C48" s="538" t="s">
        <v>85</v>
      </c>
      <c r="D48" s="71">
        <f>SUM(D45:D47)</f>
        <v>-8000000</v>
      </c>
      <c r="E48" s="71">
        <f>SUM(E45:E47)</f>
        <v>2645000</v>
      </c>
      <c r="F48" s="71">
        <f>SUM(F45:F47)</f>
        <v>3259000</v>
      </c>
      <c r="G48" s="72">
        <f>SUM(G45:G47)</f>
        <v>3317000</v>
      </c>
    </row>
    <row r="50" spans="2:7" x14ac:dyDescent="0.25">
      <c r="C50" s="541" t="s">
        <v>297</v>
      </c>
      <c r="D50" s="542"/>
      <c r="E50" s="542"/>
      <c r="F50" s="542"/>
      <c r="G50" s="543"/>
    </row>
    <row r="51" spans="2:7" x14ac:dyDescent="0.25">
      <c r="C51" s="522" t="s">
        <v>171</v>
      </c>
      <c r="D51" s="539" t="s">
        <v>34</v>
      </c>
      <c r="E51" s="539" t="s">
        <v>39</v>
      </c>
      <c r="F51" s="539" t="s">
        <v>40</v>
      </c>
      <c r="G51" s="540" t="s">
        <v>41</v>
      </c>
    </row>
    <row r="52" spans="2:7" x14ac:dyDescent="0.25">
      <c r="C52" s="325" t="s">
        <v>123</v>
      </c>
      <c r="D52" s="147"/>
      <c r="E52" s="13">
        <f>+D35</f>
        <v>4125000</v>
      </c>
      <c r="F52" s="13">
        <f>+E35</f>
        <v>4620000</v>
      </c>
      <c r="G52" s="20">
        <f>+F35</f>
        <v>5295000</v>
      </c>
    </row>
    <row r="53" spans="2:7" x14ac:dyDescent="0.25">
      <c r="C53" s="325" t="s">
        <v>124</v>
      </c>
      <c r="D53" s="147"/>
      <c r="E53" s="13">
        <f>-$D$7*D9</f>
        <v>-2000000</v>
      </c>
      <c r="F53" s="13">
        <f t="shared" ref="F53:G53" si="4">-$D$7*E9</f>
        <v>-3040000</v>
      </c>
      <c r="G53" s="20">
        <f t="shared" si="4"/>
        <v>-2960000</v>
      </c>
    </row>
    <row r="54" spans="2:7" x14ac:dyDescent="0.25">
      <c r="C54" s="325" t="s">
        <v>125</v>
      </c>
      <c r="D54" s="147"/>
      <c r="E54" s="13">
        <f>-SUM(E52:E53)*$D$10</f>
        <v>-850000</v>
      </c>
      <c r="F54" s="13">
        <f t="shared" ref="F54:G54" si="5">-SUM(F52:F53)*$D$10</f>
        <v>-632000</v>
      </c>
      <c r="G54" s="20">
        <f t="shared" si="5"/>
        <v>-934000</v>
      </c>
    </row>
    <row r="55" spans="2:7" x14ac:dyDescent="0.25">
      <c r="C55" s="536" t="s">
        <v>77</v>
      </c>
      <c r="D55" s="537"/>
      <c r="E55" s="32">
        <f>SUM(E52:E54)</f>
        <v>1275000</v>
      </c>
      <c r="F55" s="32">
        <f>SUM(F52:F54)</f>
        <v>948000</v>
      </c>
      <c r="G55" s="33">
        <f>SUM(G52:G54)</f>
        <v>1401000</v>
      </c>
    </row>
    <row r="57" spans="2:7" x14ac:dyDescent="0.25">
      <c r="C57" s="532" t="s">
        <v>176</v>
      </c>
      <c r="D57" s="544" t="s">
        <v>34</v>
      </c>
      <c r="E57" s="544" t="s">
        <v>39</v>
      </c>
      <c r="F57" s="544" t="s">
        <v>40</v>
      </c>
      <c r="G57" s="545" t="s">
        <v>41</v>
      </c>
    </row>
    <row r="58" spans="2:7" x14ac:dyDescent="0.25">
      <c r="C58" s="325" t="s">
        <v>54</v>
      </c>
      <c r="D58" s="147"/>
      <c r="E58" s="13">
        <f>+E55</f>
        <v>1275000</v>
      </c>
      <c r="F58" s="13">
        <f>+F55</f>
        <v>948000</v>
      </c>
      <c r="G58" s="20">
        <f>+G55</f>
        <v>1401000</v>
      </c>
    </row>
    <row r="59" spans="2:7" x14ac:dyDescent="0.25">
      <c r="C59" s="325" t="s">
        <v>100</v>
      </c>
      <c r="D59" s="147"/>
      <c r="E59" s="13">
        <f>-E53</f>
        <v>2000000</v>
      </c>
      <c r="F59" s="13">
        <f>-F53</f>
        <v>3040000</v>
      </c>
      <c r="G59" s="20">
        <f>-G53</f>
        <v>2960000</v>
      </c>
    </row>
    <row r="60" spans="2:7" x14ac:dyDescent="0.25">
      <c r="C60" s="325" t="s">
        <v>19</v>
      </c>
      <c r="D60" s="13">
        <f>-D7</f>
        <v>-8000000</v>
      </c>
      <c r="E60" s="13"/>
      <c r="F60" s="13"/>
      <c r="G60" s="20"/>
    </row>
    <row r="61" spans="2:7" x14ac:dyDescent="0.25">
      <c r="C61" s="538" t="s">
        <v>85</v>
      </c>
      <c r="D61" s="71">
        <f>SUM(D58:D60)</f>
        <v>-8000000</v>
      </c>
      <c r="E61" s="71">
        <f>SUM(E58:E60)</f>
        <v>3275000</v>
      </c>
      <c r="F61" s="71">
        <f>SUM(F58:F60)</f>
        <v>3988000</v>
      </c>
      <c r="G61" s="72">
        <f>SUM(G58:G60)</f>
        <v>4361000</v>
      </c>
    </row>
    <row r="63" spans="2:7" x14ac:dyDescent="0.25">
      <c r="B63" s="316" t="s">
        <v>111</v>
      </c>
      <c r="C63" s="546" t="s">
        <v>126</v>
      </c>
      <c r="D63" s="30">
        <f>+D48+NPV(D11,E48:G48)</f>
        <v>-546677.79539949074</v>
      </c>
    </row>
    <row r="64" spans="2:7" x14ac:dyDescent="0.25">
      <c r="D64" s="7"/>
    </row>
    <row r="65" spans="2:10" x14ac:dyDescent="0.25">
      <c r="C65" s="546" t="s">
        <v>127</v>
      </c>
      <c r="D65" s="30">
        <f>+D61+NPV(D11,E61:G61)</f>
        <v>1375926.3280811831</v>
      </c>
    </row>
    <row r="67" spans="2:10" x14ac:dyDescent="0.25">
      <c r="B67" s="316" t="s">
        <v>255</v>
      </c>
      <c r="C67" s="546" t="s">
        <v>298</v>
      </c>
      <c r="D67" s="68">
        <f>+D63*0.5+D65*0.5</f>
        <v>414624.2663408462</v>
      </c>
    </row>
    <row r="68" spans="2:10" x14ac:dyDescent="0.25">
      <c r="J68" s="520"/>
    </row>
    <row r="69" spans="2:10" x14ac:dyDescent="0.25">
      <c r="B69" s="316" t="s">
        <v>293</v>
      </c>
      <c r="C69" s="547" t="s">
        <v>407</v>
      </c>
      <c r="D69" s="548"/>
      <c r="E69" s="548"/>
      <c r="F69" s="548"/>
      <c r="G69" s="549"/>
      <c r="J69" s="520"/>
    </row>
    <row r="71" spans="2:10" x14ac:dyDescent="0.25">
      <c r="B71" s="519" t="s">
        <v>416</v>
      </c>
      <c r="D71" s="342">
        <f>+(D63-D67)^2</f>
        <v>924101653906.22253</v>
      </c>
      <c r="E71" s="550">
        <v>0.5</v>
      </c>
      <c r="F71" s="551">
        <f>+D71*E71</f>
        <v>462050826953.11127</v>
      </c>
    </row>
    <row r="72" spans="2:10" x14ac:dyDescent="0.25">
      <c r="D72" s="347">
        <f>+(D65-D67)^2</f>
        <v>924101653906.22253</v>
      </c>
      <c r="E72" s="552">
        <v>0.5</v>
      </c>
      <c r="F72" s="351">
        <f>+D72*E72</f>
        <v>462050826953.11127</v>
      </c>
    </row>
    <row r="73" spans="2:10" x14ac:dyDescent="0.25">
      <c r="D73" s="347" t="s">
        <v>128</v>
      </c>
      <c r="E73" s="350"/>
      <c r="F73" s="351">
        <f>SUM(F71:F72)</f>
        <v>924101653906.22253</v>
      </c>
    </row>
    <row r="74" spans="2:10" x14ac:dyDescent="0.25">
      <c r="D74" s="347" t="s">
        <v>129</v>
      </c>
      <c r="E74" s="350"/>
      <c r="F74" s="178">
        <f>+F73^0.5</f>
        <v>961302.06174033694</v>
      </c>
    </row>
    <row r="75" spans="2:10" x14ac:dyDescent="0.25">
      <c r="D75" s="553" t="s">
        <v>130</v>
      </c>
      <c r="E75" s="554"/>
      <c r="F75" s="82">
        <f>+F74/D67</f>
        <v>2.3184896297171584</v>
      </c>
    </row>
    <row r="79" spans="2:10" x14ac:dyDescent="0.25">
      <c r="C79" s="36"/>
      <c r="D79" s="192" t="s">
        <v>370</v>
      </c>
      <c r="E79" s="192" t="s">
        <v>371</v>
      </c>
      <c r="F79" s="192" t="s">
        <v>369</v>
      </c>
      <c r="G79" s="104" t="s">
        <v>92</v>
      </c>
      <c r="H79" s="192" t="s">
        <v>372</v>
      </c>
      <c r="I79" s="192" t="s">
        <v>373</v>
      </c>
      <c r="J79" s="193" t="s">
        <v>374</v>
      </c>
    </row>
    <row r="80" spans="2:10" x14ac:dyDescent="0.25">
      <c r="C80" s="194">
        <v>0.68259999999999998</v>
      </c>
      <c r="D80" s="13"/>
      <c r="E80" s="147"/>
      <c r="F80" s="13">
        <f>+G80-F74</f>
        <v>-546677.79539949074</v>
      </c>
      <c r="G80" s="13">
        <f>+D67</f>
        <v>414624.2663408462</v>
      </c>
      <c r="H80" s="13">
        <f>+G80+F74</f>
        <v>1375926.3280811831</v>
      </c>
      <c r="I80" s="147"/>
      <c r="J80" s="20"/>
    </row>
    <row r="81" spans="3:10" x14ac:dyDescent="0.25">
      <c r="C81" s="194">
        <v>0.95440000000000003</v>
      </c>
      <c r="D81" s="147"/>
      <c r="E81" s="13">
        <f>+G80-2*F74</f>
        <v>-1507979.8571398277</v>
      </c>
      <c r="F81" s="13"/>
      <c r="G81" s="13"/>
      <c r="H81" s="13"/>
      <c r="I81" s="13">
        <f>+G80+2*F74</f>
        <v>2337228.3898215201</v>
      </c>
      <c r="J81" s="336"/>
    </row>
    <row r="82" spans="3:10" x14ac:dyDescent="0.25">
      <c r="C82" s="197">
        <v>0.99739999999999995</v>
      </c>
      <c r="D82" s="43">
        <f>+G80-3*F74</f>
        <v>-2469281.9188801646</v>
      </c>
      <c r="E82" s="43"/>
      <c r="F82" s="43"/>
      <c r="G82" s="43"/>
      <c r="H82" s="43"/>
      <c r="I82" s="43"/>
      <c r="J82" s="122">
        <f>+G80+3*F74</f>
        <v>3298530.451561857</v>
      </c>
    </row>
  </sheetData>
  <sheetProtection algorithmName="SHA-512" hashValue="O/2v1nsIPQg1miwFokDIbVOD1CJINEAZliiQew0l7xfqL816r21fRHgl4F/eJtXFpET0Vru4mtrLVnfZLdGoEg==" saltValue="zBpKsOO7TZTb5ksTGxJHtA==" spinCount="100000" sheet="1" objects="1" scenarios="1"/>
  <mergeCells count="4">
    <mergeCell ref="D15:F15"/>
    <mergeCell ref="D25:F25"/>
    <mergeCell ref="C1:J1"/>
    <mergeCell ref="C3:F4"/>
  </mergeCells>
  <phoneticPr fontId="3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65"/>
  <sheetViews>
    <sheetView topLeftCell="A52" zoomScaleNormal="100" workbookViewId="0">
      <selection activeCell="J37" sqref="J37"/>
    </sheetView>
  </sheetViews>
  <sheetFormatPr baseColWidth="10" defaultColWidth="11.44140625" defaultRowHeight="13.8" x14ac:dyDescent="0.25"/>
  <cols>
    <col min="1" max="1" width="18.33203125" style="46" customWidth="1"/>
    <col min="2" max="2" width="6.6640625" style="46" customWidth="1"/>
    <col min="3" max="3" width="20.109375" style="46" bestFit="1" customWidth="1"/>
    <col min="4" max="4" width="13" style="46" customWidth="1"/>
    <col min="5" max="5" width="20.5546875" style="46" customWidth="1"/>
    <col min="6" max="6" width="19.44140625" style="46" customWidth="1"/>
    <col min="7" max="7" width="11.109375" style="46" customWidth="1"/>
    <col min="8" max="9" width="11" style="46" customWidth="1"/>
    <col min="10" max="10" width="11.109375" style="46" customWidth="1"/>
    <col min="11" max="11" width="11.6640625" style="46" bestFit="1" customWidth="1"/>
    <col min="12" max="12" width="13.33203125" style="46" customWidth="1"/>
    <col min="13" max="16" width="11.6640625" style="46" bestFit="1" customWidth="1"/>
    <col min="17" max="17" width="11.44140625" style="46"/>
    <col min="18" max="18" width="22.88671875" style="46" customWidth="1"/>
    <col min="19" max="19" width="11.6640625" style="46" bestFit="1" customWidth="1"/>
    <col min="20" max="21" width="11.44140625" style="46"/>
    <col min="22" max="22" width="12.88671875" style="46" customWidth="1"/>
    <col min="23" max="16384" width="11.44140625" style="46"/>
  </cols>
  <sheetData>
    <row r="1" spans="2:16" ht="19.95" customHeight="1" x14ac:dyDescent="0.25">
      <c r="B1" s="501"/>
      <c r="C1" s="601" t="s">
        <v>461</v>
      </c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</row>
    <row r="2" spans="2:16" x14ac:dyDescent="0.25"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x14ac:dyDescent="0.25">
      <c r="B3" s="316" t="s">
        <v>105</v>
      </c>
      <c r="C3" s="46" t="s">
        <v>484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x14ac:dyDescent="0.25">
      <c r="C4" s="27" t="s">
        <v>171</v>
      </c>
      <c r="D4" s="28" t="s">
        <v>1</v>
      </c>
      <c r="E4" s="29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x14ac:dyDescent="0.25">
      <c r="C5" s="19" t="s">
        <v>15</v>
      </c>
      <c r="D5" s="13"/>
      <c r="E5" s="502" t="s">
        <v>89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6" x14ac:dyDescent="0.25">
      <c r="C6" s="19" t="s">
        <v>18</v>
      </c>
      <c r="D6" s="13"/>
      <c r="E6" s="20">
        <v>10000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 x14ac:dyDescent="0.25">
      <c r="C7" s="19" t="s">
        <v>20</v>
      </c>
      <c r="D7" s="13"/>
      <c r="E7" s="20">
        <v>15000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 x14ac:dyDescent="0.25">
      <c r="C8" s="19" t="s">
        <v>22</v>
      </c>
      <c r="D8" s="13"/>
      <c r="E8" s="20">
        <v>2000</v>
      </c>
      <c r="F8" s="6"/>
      <c r="G8" s="6"/>
      <c r="H8" s="6"/>
      <c r="M8" s="6"/>
      <c r="N8" s="6"/>
      <c r="O8" s="6"/>
      <c r="P8" s="6"/>
    </row>
    <row r="9" spans="2:16" x14ac:dyDescent="0.25">
      <c r="C9" s="19" t="s">
        <v>23</v>
      </c>
      <c r="D9" s="13"/>
      <c r="E9" s="20" t="s">
        <v>408</v>
      </c>
      <c r="F9" s="6"/>
      <c r="G9" s="6"/>
      <c r="H9" s="6"/>
      <c r="M9" s="6"/>
      <c r="N9" s="6"/>
      <c r="O9" s="6"/>
      <c r="P9" s="6"/>
    </row>
    <row r="10" spans="2:16" x14ac:dyDescent="0.25">
      <c r="C10" s="23" t="s">
        <v>28</v>
      </c>
      <c r="D10" s="43"/>
      <c r="E10" s="122"/>
      <c r="F10" s="6"/>
      <c r="G10" s="6"/>
      <c r="H10" s="6"/>
      <c r="M10" s="6"/>
      <c r="N10" s="6"/>
      <c r="O10" s="6"/>
      <c r="P10" s="6"/>
    </row>
    <row r="11" spans="2:16" x14ac:dyDescent="0.25">
      <c r="C11" s="6"/>
      <c r="D11" s="6"/>
      <c r="E11" s="6"/>
      <c r="F11" s="6"/>
      <c r="G11" s="6"/>
      <c r="H11" s="6"/>
      <c r="M11" s="6"/>
      <c r="N11" s="6"/>
      <c r="O11" s="6"/>
      <c r="P11" s="6"/>
    </row>
    <row r="12" spans="2:16" x14ac:dyDescent="0.25">
      <c r="C12" s="27" t="s">
        <v>30</v>
      </c>
      <c r="D12" s="28" t="s">
        <v>1</v>
      </c>
      <c r="E12" s="29" t="s">
        <v>90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x14ac:dyDescent="0.25">
      <c r="C13" s="19" t="s">
        <v>15</v>
      </c>
      <c r="D13" s="13"/>
      <c r="E13" s="502" t="s">
        <v>89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 x14ac:dyDescent="0.25">
      <c r="C14" s="19" t="s">
        <v>16</v>
      </c>
      <c r="D14" s="13"/>
      <c r="E14" s="502">
        <v>27000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2:16" x14ac:dyDescent="0.25">
      <c r="C15" s="19" t="s">
        <v>23</v>
      </c>
      <c r="D15" s="13"/>
      <c r="E15" s="502" t="str">
        <f>+E9</f>
        <v>(20Y-27,000)*30%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x14ac:dyDescent="0.25">
      <c r="C16" s="19" t="s">
        <v>19</v>
      </c>
      <c r="D16" s="13">
        <v>-121000</v>
      </c>
      <c r="E16" s="20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3:16" x14ac:dyDescent="0.25">
      <c r="C17" s="31" t="s">
        <v>21</v>
      </c>
      <c r="D17" s="32">
        <f>+D16</f>
        <v>-121000</v>
      </c>
      <c r="E17" s="503" t="s">
        <v>26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3:16" x14ac:dyDescent="0.25">
      <c r="C18" s="81" t="s">
        <v>31</v>
      </c>
      <c r="D18" s="504">
        <f>+(1+0.15)^(0.0833333333333333)-1</f>
        <v>1.171491691985338E-2</v>
      </c>
      <c r="E18" s="35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3:16" x14ac:dyDescent="0.25"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3:16" x14ac:dyDescent="0.25">
      <c r="C20" s="77"/>
      <c r="D20" s="442"/>
      <c r="E20" s="492">
        <v>12</v>
      </c>
      <c r="F20" s="443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3:16" x14ac:dyDescent="0.25">
      <c r="C21" s="79">
        <v>-121000</v>
      </c>
      <c r="D21" s="449" t="s">
        <v>24</v>
      </c>
      <c r="E21" s="623" t="s">
        <v>25</v>
      </c>
      <c r="F21" s="505" t="s">
        <v>26</v>
      </c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3:16" ht="15.6" x14ac:dyDescent="0.25">
      <c r="C22" s="79"/>
      <c r="D22" s="177"/>
      <c r="E22" s="623"/>
      <c r="F22" s="450" t="s">
        <v>462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3:16" x14ac:dyDescent="0.25">
      <c r="C23" s="81"/>
      <c r="D23" s="179"/>
      <c r="E23" s="452" t="s">
        <v>29</v>
      </c>
      <c r="F23" s="180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3:16" x14ac:dyDescent="0.25">
      <c r="C24" s="6"/>
      <c r="D24" s="6"/>
      <c r="E24" s="20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3:16" x14ac:dyDescent="0.25">
      <c r="C25" s="36" t="s">
        <v>412</v>
      </c>
      <c r="D25" s="472"/>
      <c r="E25" s="511"/>
      <c r="F25" s="512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3:16" x14ac:dyDescent="0.25">
      <c r="C26" s="347"/>
      <c r="D26" s="350"/>
      <c r="E26" s="348" t="s">
        <v>410</v>
      </c>
      <c r="F26" s="506" t="s">
        <v>411</v>
      </c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3:16" x14ac:dyDescent="0.25">
      <c r="C27" s="79"/>
      <c r="D27" s="507" t="s">
        <v>86</v>
      </c>
      <c r="E27" s="179">
        <v>14</v>
      </c>
      <c r="F27" s="180">
        <v>18900</v>
      </c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3:16" x14ac:dyDescent="0.25">
      <c r="C28" s="79" t="s">
        <v>3</v>
      </c>
      <c r="D28" s="449">
        <f>1/(1+$D$18)^1</f>
        <v>0.9884207332283691</v>
      </c>
      <c r="E28" s="177">
        <f t="shared" ref="E28:E39" si="0">+$E$27*D28</f>
        <v>13.837890265197167</v>
      </c>
      <c r="F28" s="178">
        <f t="shared" ref="F28:F39" si="1">+$F$27*D28</f>
        <v>18681.151858016176</v>
      </c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3:16" x14ac:dyDescent="0.25">
      <c r="C29" s="79" t="s">
        <v>4</v>
      </c>
      <c r="D29" s="449">
        <f>1/(1+$D$18)^2</f>
        <v>0.97697554587570679</v>
      </c>
      <c r="E29" s="177">
        <f t="shared" si="0"/>
        <v>13.677657642259895</v>
      </c>
      <c r="F29" s="178">
        <f t="shared" si="1"/>
        <v>18464.837817050859</v>
      </c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3:16" x14ac:dyDescent="0.25">
      <c r="C30" s="79" t="s">
        <v>5</v>
      </c>
      <c r="D30" s="449">
        <f>1/(1+$D$18)^3</f>
        <v>0.96566288540065226</v>
      </c>
      <c r="E30" s="177">
        <f t="shared" si="0"/>
        <v>13.519280395609131</v>
      </c>
      <c r="F30" s="178">
        <f t="shared" si="1"/>
        <v>18251.028534072328</v>
      </c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3:16" x14ac:dyDescent="0.25">
      <c r="C31" s="79" t="s">
        <v>6</v>
      </c>
      <c r="D31" s="449">
        <f>1/(1+$D$18)^4</f>
        <v>0.95448121723913526</v>
      </c>
      <c r="E31" s="177">
        <f t="shared" si="0"/>
        <v>13.362737041347893</v>
      </c>
      <c r="F31" s="178">
        <f t="shared" si="1"/>
        <v>18039.695005819656</v>
      </c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3:16" x14ac:dyDescent="0.25">
      <c r="C32" s="79" t="s">
        <v>7</v>
      </c>
      <c r="D32" s="449">
        <f>1/(1+$D$18)^5</f>
        <v>0.94342902459621236</v>
      </c>
      <c r="E32" s="177">
        <f t="shared" si="0"/>
        <v>13.208006344346973</v>
      </c>
      <c r="F32" s="178">
        <f t="shared" si="1"/>
        <v>17830.808564868414</v>
      </c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x14ac:dyDescent="0.25">
      <c r="C33" s="79" t="s">
        <v>8</v>
      </c>
      <c r="D33" s="449">
        <f>1/(1+$D$18)^6</f>
        <v>0.93250480824031312</v>
      </c>
      <c r="E33" s="177">
        <f t="shared" si="0"/>
        <v>13.055067315364383</v>
      </c>
      <c r="F33" s="178">
        <f t="shared" si="1"/>
        <v>17624.340875741917</v>
      </c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x14ac:dyDescent="0.25">
      <c r="C34" s="79" t="s">
        <v>9</v>
      </c>
      <c r="D34" s="449">
        <f>1/(1+$D$18)^7</f>
        <v>0.9217070862998703</v>
      </c>
      <c r="E34" s="177">
        <f t="shared" si="0"/>
        <v>12.903899208198185</v>
      </c>
      <c r="F34" s="178">
        <f t="shared" si="1"/>
        <v>17420.263931067548</v>
      </c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x14ac:dyDescent="0.25">
      <c r="C35" s="79" t="s">
        <v>10</v>
      </c>
      <c r="D35" s="449">
        <f>1/(1+$D$18)^8</f>
        <v>0.91103439406230124</v>
      </c>
      <c r="E35" s="177">
        <f t="shared" si="0"/>
        <v>12.754481516872218</v>
      </c>
      <c r="F35" s="178">
        <f t="shared" si="1"/>
        <v>17218.550047777495</v>
      </c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x14ac:dyDescent="0.25">
      <c r="C36" s="79" t="s">
        <v>11</v>
      </c>
      <c r="D36" s="449">
        <f>1/(1+$D$18)^9</f>
        <v>0.90048528377532266</v>
      </c>
      <c r="E36" s="177">
        <f t="shared" si="0"/>
        <v>12.606793972854517</v>
      </c>
      <c r="F36" s="178">
        <f t="shared" si="1"/>
        <v>17019.171863353597</v>
      </c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x14ac:dyDescent="0.25">
      <c r="C37" s="79" t="s">
        <v>12</v>
      </c>
      <c r="D37" s="449">
        <f>1/(1+$D$18)^10</f>
        <v>0.89005832445056055</v>
      </c>
      <c r="E37" s="177">
        <f t="shared" si="0"/>
        <v>12.460816542307848</v>
      </c>
      <c r="F37" s="178">
        <f t="shared" si="1"/>
        <v>16822.102332115595</v>
      </c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x14ac:dyDescent="0.25">
      <c r="C38" s="79" t="s">
        <v>13</v>
      </c>
      <c r="D38" s="449">
        <f>1/(1+$D$18)^11</f>
        <v>0.87975210166943663</v>
      </c>
      <c r="E38" s="177">
        <f t="shared" si="0"/>
        <v>12.316529423372113</v>
      </c>
      <c r="F38" s="178">
        <f t="shared" si="1"/>
        <v>16627.314721552353</v>
      </c>
    </row>
    <row r="39" spans="2:16" x14ac:dyDescent="0.25">
      <c r="C39" s="79" t="s">
        <v>14</v>
      </c>
      <c r="D39" s="449">
        <f>1/(1+$D$18)^12</f>
        <v>0.86956521739130321</v>
      </c>
      <c r="E39" s="177">
        <f t="shared" si="0"/>
        <v>12.173913043478246</v>
      </c>
      <c r="F39" s="178">
        <f t="shared" si="1"/>
        <v>16434.78260869563</v>
      </c>
    </row>
    <row r="40" spans="2:16" x14ac:dyDescent="0.25">
      <c r="C40" s="79"/>
      <c r="D40" s="177"/>
      <c r="E40" s="177">
        <f>SUM(E28:E39)</f>
        <v>155.87707271120857</v>
      </c>
      <c r="F40" s="178">
        <f>SUM(F28:F39)</f>
        <v>210434.04816013156</v>
      </c>
    </row>
    <row r="41" spans="2:16" x14ac:dyDescent="0.25">
      <c r="C41" s="508" t="s">
        <v>386</v>
      </c>
      <c r="D41" s="509">
        <f>+(F40-D17)/E40</f>
        <v>2126.2527092369455</v>
      </c>
      <c r="E41" s="179"/>
      <c r="F41" s="180"/>
    </row>
    <row r="42" spans="2:16" ht="6.6" customHeight="1" x14ac:dyDescent="0.25"/>
    <row r="43" spans="2:16" ht="6.6" customHeight="1" x14ac:dyDescent="0.25"/>
    <row r="44" spans="2:16" ht="6.6" customHeight="1" x14ac:dyDescent="0.25"/>
    <row r="45" spans="2:16" ht="6.6" customHeight="1" x14ac:dyDescent="0.25"/>
    <row r="46" spans="2:16" ht="13.5" customHeight="1" x14ac:dyDescent="0.25">
      <c r="B46" s="316" t="s">
        <v>106</v>
      </c>
      <c r="C46" s="46" t="s">
        <v>485</v>
      </c>
    </row>
    <row r="47" spans="2:16" x14ac:dyDescent="0.25">
      <c r="C47" s="513" t="s">
        <v>0</v>
      </c>
      <c r="D47" s="128">
        <v>3100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x14ac:dyDescent="0.25">
      <c r="C48" s="36"/>
      <c r="D48" s="28" t="s">
        <v>1</v>
      </c>
      <c r="E48" s="28" t="s">
        <v>3</v>
      </c>
      <c r="F48" s="28" t="s">
        <v>4</v>
      </c>
      <c r="G48" s="28" t="s">
        <v>5</v>
      </c>
      <c r="H48" s="28" t="s">
        <v>6</v>
      </c>
      <c r="I48" s="28" t="s">
        <v>7</v>
      </c>
      <c r="J48" s="28" t="s">
        <v>8</v>
      </c>
      <c r="K48" s="28" t="s">
        <v>9</v>
      </c>
      <c r="L48" s="28" t="s">
        <v>10</v>
      </c>
      <c r="M48" s="28" t="s">
        <v>11</v>
      </c>
      <c r="N48" s="28" t="s">
        <v>12</v>
      </c>
      <c r="O48" s="28" t="s">
        <v>13</v>
      </c>
      <c r="P48" s="29" t="s">
        <v>14</v>
      </c>
    </row>
    <row r="49" spans="3:16" x14ac:dyDescent="0.25">
      <c r="C49" s="19" t="s">
        <v>15</v>
      </c>
      <c r="D49" s="13"/>
      <c r="E49" s="13">
        <f>+$D$47*20</f>
        <v>62000</v>
      </c>
      <c r="F49" s="13">
        <f t="shared" ref="F49:P49" si="2">+$D$47*20</f>
        <v>62000</v>
      </c>
      <c r="G49" s="13">
        <f t="shared" si="2"/>
        <v>62000</v>
      </c>
      <c r="H49" s="13">
        <f t="shared" si="2"/>
        <v>62000</v>
      </c>
      <c r="I49" s="13">
        <f t="shared" si="2"/>
        <v>62000</v>
      </c>
      <c r="J49" s="13">
        <f t="shared" si="2"/>
        <v>62000</v>
      </c>
      <c r="K49" s="13">
        <f t="shared" si="2"/>
        <v>62000</v>
      </c>
      <c r="L49" s="13">
        <f t="shared" si="2"/>
        <v>62000</v>
      </c>
      <c r="M49" s="13">
        <f t="shared" si="2"/>
        <v>62000</v>
      </c>
      <c r="N49" s="13">
        <f t="shared" si="2"/>
        <v>62000</v>
      </c>
      <c r="O49" s="13">
        <f t="shared" si="2"/>
        <v>62000</v>
      </c>
      <c r="P49" s="20">
        <f t="shared" si="2"/>
        <v>62000</v>
      </c>
    </row>
    <row r="50" spans="3:16" x14ac:dyDescent="0.25">
      <c r="C50" s="19" t="s">
        <v>16</v>
      </c>
      <c r="D50" s="13"/>
      <c r="E50" s="13">
        <v>-27000</v>
      </c>
      <c r="F50" s="13">
        <f>+E50</f>
        <v>-27000</v>
      </c>
      <c r="G50" s="13">
        <f t="shared" ref="G50:P50" si="3">+F50</f>
        <v>-27000</v>
      </c>
      <c r="H50" s="13">
        <f t="shared" si="3"/>
        <v>-27000</v>
      </c>
      <c r="I50" s="13">
        <f t="shared" si="3"/>
        <v>-27000</v>
      </c>
      <c r="J50" s="13">
        <f t="shared" si="3"/>
        <v>-27000</v>
      </c>
      <c r="K50" s="13">
        <f t="shared" si="3"/>
        <v>-27000</v>
      </c>
      <c r="L50" s="13">
        <f t="shared" si="3"/>
        <v>-27000</v>
      </c>
      <c r="M50" s="13">
        <f t="shared" si="3"/>
        <v>-27000</v>
      </c>
      <c r="N50" s="13">
        <f t="shared" si="3"/>
        <v>-27000</v>
      </c>
      <c r="O50" s="13">
        <f t="shared" si="3"/>
        <v>-27000</v>
      </c>
      <c r="P50" s="20">
        <f t="shared" si="3"/>
        <v>-27000</v>
      </c>
    </row>
    <row r="51" spans="3:16" x14ac:dyDescent="0.25">
      <c r="C51" s="19" t="s">
        <v>17</v>
      </c>
      <c r="D51" s="13"/>
      <c r="E51" s="13">
        <f>-(E49+E50)*0.3</f>
        <v>-10500</v>
      </c>
      <c r="F51" s="13">
        <f t="shared" ref="F51:P51" si="4">-(F49+F50)*0.3</f>
        <v>-10500</v>
      </c>
      <c r="G51" s="13">
        <f t="shared" si="4"/>
        <v>-10500</v>
      </c>
      <c r="H51" s="13">
        <f t="shared" si="4"/>
        <v>-10500</v>
      </c>
      <c r="I51" s="13">
        <f t="shared" si="4"/>
        <v>-10500</v>
      </c>
      <c r="J51" s="13">
        <f t="shared" si="4"/>
        <v>-10500</v>
      </c>
      <c r="K51" s="13">
        <f t="shared" si="4"/>
        <v>-10500</v>
      </c>
      <c r="L51" s="13">
        <f t="shared" si="4"/>
        <v>-10500</v>
      </c>
      <c r="M51" s="13">
        <f t="shared" si="4"/>
        <v>-10500</v>
      </c>
      <c r="N51" s="13">
        <f t="shared" si="4"/>
        <v>-10500</v>
      </c>
      <c r="O51" s="13">
        <f t="shared" si="4"/>
        <v>-10500</v>
      </c>
      <c r="P51" s="20">
        <f t="shared" si="4"/>
        <v>-10500</v>
      </c>
    </row>
    <row r="52" spans="3:16" x14ac:dyDescent="0.25">
      <c r="C52" s="19" t="s">
        <v>19</v>
      </c>
      <c r="D52" s="13">
        <v>-121000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20"/>
    </row>
    <row r="53" spans="3:16" x14ac:dyDescent="0.25">
      <c r="C53" s="31" t="s">
        <v>21</v>
      </c>
      <c r="D53" s="32">
        <f>SUM(D49:D52)</f>
        <v>-121000</v>
      </c>
      <c r="E53" s="32">
        <f>SUM(E49:E52)</f>
        <v>24500</v>
      </c>
      <c r="F53" s="32">
        <f t="shared" ref="F53:P53" si="5">SUM(F49:F52)</f>
        <v>24500</v>
      </c>
      <c r="G53" s="32">
        <f t="shared" si="5"/>
        <v>24500</v>
      </c>
      <c r="H53" s="32">
        <f t="shared" si="5"/>
        <v>24500</v>
      </c>
      <c r="I53" s="32">
        <f t="shared" si="5"/>
        <v>24500</v>
      </c>
      <c r="J53" s="32">
        <f t="shared" si="5"/>
        <v>24500</v>
      </c>
      <c r="K53" s="32">
        <f t="shared" si="5"/>
        <v>24500</v>
      </c>
      <c r="L53" s="32">
        <f t="shared" si="5"/>
        <v>24500</v>
      </c>
      <c r="M53" s="32">
        <f t="shared" si="5"/>
        <v>24500</v>
      </c>
      <c r="N53" s="32">
        <f t="shared" si="5"/>
        <v>24500</v>
      </c>
      <c r="O53" s="32">
        <f t="shared" si="5"/>
        <v>24500</v>
      </c>
      <c r="P53" s="33">
        <f t="shared" si="5"/>
        <v>24500</v>
      </c>
    </row>
    <row r="54" spans="3:16" x14ac:dyDescent="0.2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3:16" x14ac:dyDescent="0.25">
      <c r="C55" s="36" t="s">
        <v>27</v>
      </c>
      <c r="D55" s="30">
        <f>+D53+NPV(D18,E53:P53)</f>
        <v>151784.877244615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7" spans="3:16" x14ac:dyDescent="0.25">
      <c r="C57" s="249" t="s">
        <v>0</v>
      </c>
      <c r="D57" s="30">
        <v>2126.2527092369455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3:16" x14ac:dyDescent="0.25">
      <c r="C58" s="36"/>
      <c r="D58" s="28" t="s">
        <v>1</v>
      </c>
      <c r="E58" s="28" t="s">
        <v>3</v>
      </c>
      <c r="F58" s="28" t="s">
        <v>4</v>
      </c>
      <c r="G58" s="28" t="s">
        <v>5</v>
      </c>
      <c r="H58" s="28" t="s">
        <v>6</v>
      </c>
      <c r="I58" s="28" t="s">
        <v>7</v>
      </c>
      <c r="J58" s="28" t="s">
        <v>8</v>
      </c>
      <c r="K58" s="28" t="s">
        <v>9</v>
      </c>
      <c r="L58" s="28" t="s">
        <v>10</v>
      </c>
      <c r="M58" s="28" t="s">
        <v>11</v>
      </c>
      <c r="N58" s="28" t="s">
        <v>12</v>
      </c>
      <c r="O58" s="28" t="s">
        <v>13</v>
      </c>
      <c r="P58" s="29" t="s">
        <v>14</v>
      </c>
    </row>
    <row r="59" spans="3:16" x14ac:dyDescent="0.25">
      <c r="C59" s="19" t="s">
        <v>15</v>
      </c>
      <c r="D59" s="13"/>
      <c r="E59" s="13">
        <f>+$D$57*20</f>
        <v>42525.05418473891</v>
      </c>
      <c r="F59" s="13">
        <f t="shared" ref="F59:P59" si="6">+$D$57*20</f>
        <v>42525.05418473891</v>
      </c>
      <c r="G59" s="13">
        <f t="shared" si="6"/>
        <v>42525.05418473891</v>
      </c>
      <c r="H59" s="13">
        <f t="shared" si="6"/>
        <v>42525.05418473891</v>
      </c>
      <c r="I59" s="13">
        <f t="shared" si="6"/>
        <v>42525.05418473891</v>
      </c>
      <c r="J59" s="13">
        <f t="shared" si="6"/>
        <v>42525.05418473891</v>
      </c>
      <c r="K59" s="13">
        <f t="shared" si="6"/>
        <v>42525.05418473891</v>
      </c>
      <c r="L59" s="13">
        <f t="shared" si="6"/>
        <v>42525.05418473891</v>
      </c>
      <c r="M59" s="13">
        <f t="shared" si="6"/>
        <v>42525.05418473891</v>
      </c>
      <c r="N59" s="13">
        <f t="shared" si="6"/>
        <v>42525.05418473891</v>
      </c>
      <c r="O59" s="13">
        <f t="shared" si="6"/>
        <v>42525.05418473891</v>
      </c>
      <c r="P59" s="20">
        <f t="shared" si="6"/>
        <v>42525.05418473891</v>
      </c>
    </row>
    <row r="60" spans="3:16" x14ac:dyDescent="0.25">
      <c r="C60" s="19" t="s">
        <v>16</v>
      </c>
      <c r="D60" s="13"/>
      <c r="E60" s="13">
        <v>-27000</v>
      </c>
      <c r="F60" s="13">
        <v>-27000</v>
      </c>
      <c r="G60" s="13">
        <v>-27000</v>
      </c>
      <c r="H60" s="13">
        <v>-27000</v>
      </c>
      <c r="I60" s="13">
        <v>-27000</v>
      </c>
      <c r="J60" s="13">
        <v>-27000</v>
      </c>
      <c r="K60" s="13">
        <v>-27000</v>
      </c>
      <c r="L60" s="13">
        <v>-27000</v>
      </c>
      <c r="M60" s="13">
        <v>-27000</v>
      </c>
      <c r="N60" s="13">
        <v>-27000</v>
      </c>
      <c r="O60" s="13">
        <v>-27000</v>
      </c>
      <c r="P60" s="20">
        <v>-27000</v>
      </c>
    </row>
    <row r="61" spans="3:16" x14ac:dyDescent="0.25">
      <c r="C61" s="19" t="s">
        <v>17</v>
      </c>
      <c r="D61" s="13"/>
      <c r="E61" s="13">
        <f>-SUM(E59:E60)*30%</f>
        <v>-4657.5162554216731</v>
      </c>
      <c r="F61" s="13">
        <f t="shared" ref="F61:P61" si="7">-SUM(F59:F60)*30%</f>
        <v>-4657.5162554216731</v>
      </c>
      <c r="G61" s="13">
        <f t="shared" si="7"/>
        <v>-4657.5162554216731</v>
      </c>
      <c r="H61" s="13">
        <f t="shared" si="7"/>
        <v>-4657.5162554216731</v>
      </c>
      <c r="I61" s="13">
        <f t="shared" si="7"/>
        <v>-4657.5162554216731</v>
      </c>
      <c r="J61" s="13">
        <f t="shared" si="7"/>
        <v>-4657.5162554216731</v>
      </c>
      <c r="K61" s="13">
        <f t="shared" si="7"/>
        <v>-4657.5162554216731</v>
      </c>
      <c r="L61" s="13">
        <f t="shared" si="7"/>
        <v>-4657.5162554216731</v>
      </c>
      <c r="M61" s="13">
        <f t="shared" si="7"/>
        <v>-4657.5162554216731</v>
      </c>
      <c r="N61" s="13">
        <f t="shared" si="7"/>
        <v>-4657.5162554216731</v>
      </c>
      <c r="O61" s="13">
        <f t="shared" si="7"/>
        <v>-4657.5162554216731</v>
      </c>
      <c r="P61" s="20">
        <f t="shared" si="7"/>
        <v>-4657.5162554216731</v>
      </c>
    </row>
    <row r="62" spans="3:16" x14ac:dyDescent="0.25">
      <c r="C62" s="19" t="s">
        <v>19</v>
      </c>
      <c r="D62" s="13">
        <v>-121000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20"/>
    </row>
    <row r="63" spans="3:16" x14ac:dyDescent="0.25">
      <c r="C63" s="31" t="s">
        <v>21</v>
      </c>
      <c r="D63" s="32">
        <f>SUM(D59:D62)</f>
        <v>-121000</v>
      </c>
      <c r="E63" s="32">
        <f>SUM(E59:E62)</f>
        <v>10867.537929317237</v>
      </c>
      <c r="F63" s="32">
        <f t="shared" ref="F63:P63" si="8">SUM(F59:F62)</f>
        <v>10867.537929317237</v>
      </c>
      <c r="G63" s="32">
        <f t="shared" si="8"/>
        <v>10867.537929317237</v>
      </c>
      <c r="H63" s="32">
        <f t="shared" si="8"/>
        <v>10867.537929317237</v>
      </c>
      <c r="I63" s="32">
        <f t="shared" si="8"/>
        <v>10867.537929317237</v>
      </c>
      <c r="J63" s="32">
        <f t="shared" si="8"/>
        <v>10867.537929317237</v>
      </c>
      <c r="K63" s="32">
        <f t="shared" si="8"/>
        <v>10867.537929317237</v>
      </c>
      <c r="L63" s="32">
        <f t="shared" si="8"/>
        <v>10867.537929317237</v>
      </c>
      <c r="M63" s="32">
        <f t="shared" si="8"/>
        <v>10867.537929317237</v>
      </c>
      <c r="N63" s="32">
        <f t="shared" si="8"/>
        <v>10867.537929317237</v>
      </c>
      <c r="O63" s="32">
        <f t="shared" si="8"/>
        <v>10867.537929317237</v>
      </c>
      <c r="P63" s="33">
        <f t="shared" si="8"/>
        <v>10867.537929317237</v>
      </c>
    </row>
    <row r="65" spans="3:4" x14ac:dyDescent="0.25">
      <c r="C65" s="73" t="s">
        <v>27</v>
      </c>
      <c r="D65" s="201">
        <f>+D63+NPV(D18,E63:P63)</f>
        <v>0</v>
      </c>
    </row>
  </sheetData>
  <sheetProtection algorithmName="SHA-512" hashValue="PYNpEQYn4k7hPAr1uicIvsFgfJKtSI03u0rs/KKt75pt8r/dWxZBB12qv46B+Bzxc0ApnLxAhWQG2FI//eTOiw==" saltValue="/IVaWKTNwftFndkW6aj5YA==" spinCount="100000" sheet="1" objects="1" scenarios="1"/>
  <mergeCells count="2">
    <mergeCell ref="E21:E22"/>
    <mergeCell ref="C1:P1"/>
  </mergeCells>
  <pageMargins left="0.7" right="0.7" top="0.75" bottom="0.75" header="0.3" footer="0.3"/>
  <pageSetup orientation="portrait" horizontalDpi="360" verticalDpi="36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1:O38"/>
  <sheetViews>
    <sheetView zoomScaleNormal="100" workbookViewId="0"/>
  </sheetViews>
  <sheetFormatPr baseColWidth="10" defaultRowHeight="13.8" x14ac:dyDescent="0.25"/>
  <cols>
    <col min="1" max="1" width="14.6640625" style="6" customWidth="1"/>
    <col min="2" max="2" width="11.44140625" style="6"/>
    <col min="3" max="3" width="22.88671875" style="6" customWidth="1"/>
    <col min="4" max="4" width="13.33203125" style="6" customWidth="1"/>
    <col min="5" max="5" width="12.6640625" style="6" bestFit="1" customWidth="1"/>
    <col min="6" max="15" width="12.44140625" style="6" bestFit="1" customWidth="1"/>
    <col min="16" max="18" width="11.44140625" style="6"/>
    <col min="19" max="19" width="2.88671875" style="6" customWidth="1"/>
    <col min="20" max="20" width="7.5546875" style="6" customWidth="1"/>
    <col min="21" max="21" width="29" style="6" customWidth="1"/>
    <col min="22" max="22" width="4.5546875" style="6" customWidth="1"/>
    <col min="23" max="258" width="11.44140625" style="6"/>
    <col min="259" max="259" width="22.88671875" style="6" customWidth="1"/>
    <col min="260" max="260" width="13.33203125" style="6" customWidth="1"/>
    <col min="261" max="261" width="12.6640625" style="6" bestFit="1" customWidth="1"/>
    <col min="262" max="514" width="11.44140625" style="6"/>
    <col min="515" max="515" width="22.88671875" style="6" customWidth="1"/>
    <col min="516" max="516" width="13.33203125" style="6" customWidth="1"/>
    <col min="517" max="517" width="12.6640625" style="6" bestFit="1" customWidth="1"/>
    <col min="518" max="770" width="11.44140625" style="6"/>
    <col min="771" max="771" width="22.88671875" style="6" customWidth="1"/>
    <col min="772" max="772" width="13.33203125" style="6" customWidth="1"/>
    <col min="773" max="773" width="12.6640625" style="6" bestFit="1" customWidth="1"/>
    <col min="774" max="1026" width="11.44140625" style="6"/>
    <col min="1027" max="1027" width="22.88671875" style="6" customWidth="1"/>
    <col min="1028" max="1028" width="13.33203125" style="6" customWidth="1"/>
    <col min="1029" max="1029" width="12.6640625" style="6" bestFit="1" customWidth="1"/>
    <col min="1030" max="1282" width="11.44140625" style="6"/>
    <col min="1283" max="1283" width="22.88671875" style="6" customWidth="1"/>
    <col min="1284" max="1284" width="13.33203125" style="6" customWidth="1"/>
    <col min="1285" max="1285" width="12.6640625" style="6" bestFit="1" customWidth="1"/>
    <col min="1286" max="1538" width="11.44140625" style="6"/>
    <col min="1539" max="1539" width="22.88671875" style="6" customWidth="1"/>
    <col min="1540" max="1540" width="13.33203125" style="6" customWidth="1"/>
    <col min="1541" max="1541" width="12.6640625" style="6" bestFit="1" customWidth="1"/>
    <col min="1542" max="1794" width="11.44140625" style="6"/>
    <col min="1795" max="1795" width="22.88671875" style="6" customWidth="1"/>
    <col min="1796" max="1796" width="13.33203125" style="6" customWidth="1"/>
    <col min="1797" max="1797" width="12.6640625" style="6" bestFit="1" customWidth="1"/>
    <col min="1798" max="2050" width="11.44140625" style="6"/>
    <col min="2051" max="2051" width="22.88671875" style="6" customWidth="1"/>
    <col min="2052" max="2052" width="13.33203125" style="6" customWidth="1"/>
    <col min="2053" max="2053" width="12.6640625" style="6" bestFit="1" customWidth="1"/>
    <col min="2054" max="2306" width="11.44140625" style="6"/>
    <col min="2307" max="2307" width="22.88671875" style="6" customWidth="1"/>
    <col min="2308" max="2308" width="13.33203125" style="6" customWidth="1"/>
    <col min="2309" max="2309" width="12.6640625" style="6" bestFit="1" customWidth="1"/>
    <col min="2310" max="2562" width="11.44140625" style="6"/>
    <col min="2563" max="2563" width="22.88671875" style="6" customWidth="1"/>
    <col min="2564" max="2564" width="13.33203125" style="6" customWidth="1"/>
    <col min="2565" max="2565" width="12.6640625" style="6" bestFit="1" customWidth="1"/>
    <col min="2566" max="2818" width="11.44140625" style="6"/>
    <col min="2819" max="2819" width="22.88671875" style="6" customWidth="1"/>
    <col min="2820" max="2820" width="13.33203125" style="6" customWidth="1"/>
    <col min="2821" max="2821" width="12.6640625" style="6" bestFit="1" customWidth="1"/>
    <col min="2822" max="3074" width="11.44140625" style="6"/>
    <col min="3075" max="3075" width="22.88671875" style="6" customWidth="1"/>
    <col min="3076" max="3076" width="13.33203125" style="6" customWidth="1"/>
    <col min="3077" max="3077" width="12.6640625" style="6" bestFit="1" customWidth="1"/>
    <col min="3078" max="3330" width="11.44140625" style="6"/>
    <col min="3331" max="3331" width="22.88671875" style="6" customWidth="1"/>
    <col min="3332" max="3332" width="13.33203125" style="6" customWidth="1"/>
    <col min="3333" max="3333" width="12.6640625" style="6" bestFit="1" customWidth="1"/>
    <col min="3334" max="3586" width="11.44140625" style="6"/>
    <col min="3587" max="3587" width="22.88671875" style="6" customWidth="1"/>
    <col min="3588" max="3588" width="13.33203125" style="6" customWidth="1"/>
    <col min="3589" max="3589" width="12.6640625" style="6" bestFit="1" customWidth="1"/>
    <col min="3590" max="3842" width="11.44140625" style="6"/>
    <col min="3843" max="3843" width="22.88671875" style="6" customWidth="1"/>
    <col min="3844" max="3844" width="13.33203125" style="6" customWidth="1"/>
    <col min="3845" max="3845" width="12.6640625" style="6" bestFit="1" customWidth="1"/>
    <col min="3846" max="4098" width="11.44140625" style="6"/>
    <col min="4099" max="4099" width="22.88671875" style="6" customWidth="1"/>
    <col min="4100" max="4100" width="13.33203125" style="6" customWidth="1"/>
    <col min="4101" max="4101" width="12.6640625" style="6" bestFit="1" customWidth="1"/>
    <col min="4102" max="4354" width="11.44140625" style="6"/>
    <col min="4355" max="4355" width="22.88671875" style="6" customWidth="1"/>
    <col min="4356" max="4356" width="13.33203125" style="6" customWidth="1"/>
    <col min="4357" max="4357" width="12.6640625" style="6" bestFit="1" customWidth="1"/>
    <col min="4358" max="4610" width="11.44140625" style="6"/>
    <col min="4611" max="4611" width="22.88671875" style="6" customWidth="1"/>
    <col min="4612" max="4612" width="13.33203125" style="6" customWidth="1"/>
    <col min="4613" max="4613" width="12.6640625" style="6" bestFit="1" customWidth="1"/>
    <col min="4614" max="4866" width="11.44140625" style="6"/>
    <col min="4867" max="4867" width="22.88671875" style="6" customWidth="1"/>
    <col min="4868" max="4868" width="13.33203125" style="6" customWidth="1"/>
    <col min="4869" max="4869" width="12.6640625" style="6" bestFit="1" customWidth="1"/>
    <col min="4870" max="5122" width="11.44140625" style="6"/>
    <col min="5123" max="5123" width="22.88671875" style="6" customWidth="1"/>
    <col min="5124" max="5124" width="13.33203125" style="6" customWidth="1"/>
    <col min="5125" max="5125" width="12.6640625" style="6" bestFit="1" customWidth="1"/>
    <col min="5126" max="5378" width="11.44140625" style="6"/>
    <col min="5379" max="5379" width="22.88671875" style="6" customWidth="1"/>
    <col min="5380" max="5380" width="13.33203125" style="6" customWidth="1"/>
    <col min="5381" max="5381" width="12.6640625" style="6" bestFit="1" customWidth="1"/>
    <col min="5382" max="5634" width="11.44140625" style="6"/>
    <col min="5635" max="5635" width="22.88671875" style="6" customWidth="1"/>
    <col min="5636" max="5636" width="13.33203125" style="6" customWidth="1"/>
    <col min="5637" max="5637" width="12.6640625" style="6" bestFit="1" customWidth="1"/>
    <col min="5638" max="5890" width="11.44140625" style="6"/>
    <col min="5891" max="5891" width="22.88671875" style="6" customWidth="1"/>
    <col min="5892" max="5892" width="13.33203125" style="6" customWidth="1"/>
    <col min="5893" max="5893" width="12.6640625" style="6" bestFit="1" customWidth="1"/>
    <col min="5894" max="6146" width="11.44140625" style="6"/>
    <col min="6147" max="6147" width="22.88671875" style="6" customWidth="1"/>
    <col min="6148" max="6148" width="13.33203125" style="6" customWidth="1"/>
    <col min="6149" max="6149" width="12.6640625" style="6" bestFit="1" customWidth="1"/>
    <col min="6150" max="6402" width="11.44140625" style="6"/>
    <col min="6403" max="6403" width="22.88671875" style="6" customWidth="1"/>
    <col min="6404" max="6404" width="13.33203125" style="6" customWidth="1"/>
    <col min="6405" max="6405" width="12.6640625" style="6" bestFit="1" customWidth="1"/>
    <col min="6406" max="6658" width="11.44140625" style="6"/>
    <col min="6659" max="6659" width="22.88671875" style="6" customWidth="1"/>
    <col min="6660" max="6660" width="13.33203125" style="6" customWidth="1"/>
    <col min="6661" max="6661" width="12.6640625" style="6" bestFit="1" customWidth="1"/>
    <col min="6662" max="6914" width="11.44140625" style="6"/>
    <col min="6915" max="6915" width="22.88671875" style="6" customWidth="1"/>
    <col min="6916" max="6916" width="13.33203125" style="6" customWidth="1"/>
    <col min="6917" max="6917" width="12.6640625" style="6" bestFit="1" customWidth="1"/>
    <col min="6918" max="7170" width="11.44140625" style="6"/>
    <col min="7171" max="7171" width="22.88671875" style="6" customWidth="1"/>
    <col min="7172" max="7172" width="13.33203125" style="6" customWidth="1"/>
    <col min="7173" max="7173" width="12.6640625" style="6" bestFit="1" customWidth="1"/>
    <col min="7174" max="7426" width="11.44140625" style="6"/>
    <col min="7427" max="7427" width="22.88671875" style="6" customWidth="1"/>
    <col min="7428" max="7428" width="13.33203125" style="6" customWidth="1"/>
    <col min="7429" max="7429" width="12.6640625" style="6" bestFit="1" customWidth="1"/>
    <col min="7430" max="7682" width="11.44140625" style="6"/>
    <col min="7683" max="7683" width="22.88671875" style="6" customWidth="1"/>
    <col min="7684" max="7684" width="13.33203125" style="6" customWidth="1"/>
    <col min="7685" max="7685" width="12.6640625" style="6" bestFit="1" customWidth="1"/>
    <col min="7686" max="7938" width="11.44140625" style="6"/>
    <col min="7939" max="7939" width="22.88671875" style="6" customWidth="1"/>
    <col min="7940" max="7940" width="13.33203125" style="6" customWidth="1"/>
    <col min="7941" max="7941" width="12.6640625" style="6" bestFit="1" customWidth="1"/>
    <col min="7942" max="8194" width="11.44140625" style="6"/>
    <col min="8195" max="8195" width="22.88671875" style="6" customWidth="1"/>
    <col min="8196" max="8196" width="13.33203125" style="6" customWidth="1"/>
    <col min="8197" max="8197" width="12.6640625" style="6" bestFit="1" customWidth="1"/>
    <col min="8198" max="8450" width="11.44140625" style="6"/>
    <col min="8451" max="8451" width="22.88671875" style="6" customWidth="1"/>
    <col min="8452" max="8452" width="13.33203125" style="6" customWidth="1"/>
    <col min="8453" max="8453" width="12.6640625" style="6" bestFit="1" customWidth="1"/>
    <col min="8454" max="8706" width="11.44140625" style="6"/>
    <col min="8707" max="8707" width="22.88671875" style="6" customWidth="1"/>
    <col min="8708" max="8708" width="13.33203125" style="6" customWidth="1"/>
    <col min="8709" max="8709" width="12.6640625" style="6" bestFit="1" customWidth="1"/>
    <col min="8710" max="8962" width="11.44140625" style="6"/>
    <col min="8963" max="8963" width="22.88671875" style="6" customWidth="1"/>
    <col min="8964" max="8964" width="13.33203125" style="6" customWidth="1"/>
    <col min="8965" max="8965" width="12.6640625" style="6" bestFit="1" customWidth="1"/>
    <col min="8966" max="9218" width="11.44140625" style="6"/>
    <col min="9219" max="9219" width="22.88671875" style="6" customWidth="1"/>
    <col min="9220" max="9220" width="13.33203125" style="6" customWidth="1"/>
    <col min="9221" max="9221" width="12.6640625" style="6" bestFit="1" customWidth="1"/>
    <col min="9222" max="9474" width="11.44140625" style="6"/>
    <col min="9475" max="9475" width="22.88671875" style="6" customWidth="1"/>
    <col min="9476" max="9476" width="13.33203125" style="6" customWidth="1"/>
    <col min="9477" max="9477" width="12.6640625" style="6" bestFit="1" customWidth="1"/>
    <col min="9478" max="9730" width="11.44140625" style="6"/>
    <col min="9731" max="9731" width="22.88671875" style="6" customWidth="1"/>
    <col min="9732" max="9732" width="13.33203125" style="6" customWidth="1"/>
    <col min="9733" max="9733" width="12.6640625" style="6" bestFit="1" customWidth="1"/>
    <col min="9734" max="9986" width="11.44140625" style="6"/>
    <col min="9987" max="9987" width="22.88671875" style="6" customWidth="1"/>
    <col min="9988" max="9988" width="13.33203125" style="6" customWidth="1"/>
    <col min="9989" max="9989" width="12.6640625" style="6" bestFit="1" customWidth="1"/>
    <col min="9990" max="10242" width="11.44140625" style="6"/>
    <col min="10243" max="10243" width="22.88671875" style="6" customWidth="1"/>
    <col min="10244" max="10244" width="13.33203125" style="6" customWidth="1"/>
    <col min="10245" max="10245" width="12.6640625" style="6" bestFit="1" customWidth="1"/>
    <col min="10246" max="10498" width="11.44140625" style="6"/>
    <col min="10499" max="10499" width="22.88671875" style="6" customWidth="1"/>
    <col min="10500" max="10500" width="13.33203125" style="6" customWidth="1"/>
    <col min="10501" max="10501" width="12.6640625" style="6" bestFit="1" customWidth="1"/>
    <col min="10502" max="10754" width="11.44140625" style="6"/>
    <col min="10755" max="10755" width="22.88671875" style="6" customWidth="1"/>
    <col min="10756" max="10756" width="13.33203125" style="6" customWidth="1"/>
    <col min="10757" max="10757" width="12.6640625" style="6" bestFit="1" customWidth="1"/>
    <col min="10758" max="11010" width="11.44140625" style="6"/>
    <col min="11011" max="11011" width="22.88671875" style="6" customWidth="1"/>
    <col min="11012" max="11012" width="13.33203125" style="6" customWidth="1"/>
    <col min="11013" max="11013" width="12.6640625" style="6" bestFit="1" customWidth="1"/>
    <col min="11014" max="11266" width="11.44140625" style="6"/>
    <col min="11267" max="11267" width="22.88671875" style="6" customWidth="1"/>
    <col min="11268" max="11268" width="13.33203125" style="6" customWidth="1"/>
    <col min="11269" max="11269" width="12.6640625" style="6" bestFit="1" customWidth="1"/>
    <col min="11270" max="11522" width="11.44140625" style="6"/>
    <col min="11523" max="11523" width="22.88671875" style="6" customWidth="1"/>
    <col min="11524" max="11524" width="13.33203125" style="6" customWidth="1"/>
    <col min="11525" max="11525" width="12.6640625" style="6" bestFit="1" customWidth="1"/>
    <col min="11526" max="11778" width="11.44140625" style="6"/>
    <col min="11779" max="11779" width="22.88671875" style="6" customWidth="1"/>
    <col min="11780" max="11780" width="13.33203125" style="6" customWidth="1"/>
    <col min="11781" max="11781" width="12.6640625" style="6" bestFit="1" customWidth="1"/>
    <col min="11782" max="12034" width="11.44140625" style="6"/>
    <col min="12035" max="12035" width="22.88671875" style="6" customWidth="1"/>
    <col min="12036" max="12036" width="13.33203125" style="6" customWidth="1"/>
    <col min="12037" max="12037" width="12.6640625" style="6" bestFit="1" customWidth="1"/>
    <col min="12038" max="12290" width="11.44140625" style="6"/>
    <col min="12291" max="12291" width="22.88671875" style="6" customWidth="1"/>
    <col min="12292" max="12292" width="13.33203125" style="6" customWidth="1"/>
    <col min="12293" max="12293" width="12.6640625" style="6" bestFit="1" customWidth="1"/>
    <col min="12294" max="12546" width="11.44140625" style="6"/>
    <col min="12547" max="12547" width="22.88671875" style="6" customWidth="1"/>
    <col min="12548" max="12548" width="13.33203125" style="6" customWidth="1"/>
    <col min="12549" max="12549" width="12.6640625" style="6" bestFit="1" customWidth="1"/>
    <col min="12550" max="12802" width="11.44140625" style="6"/>
    <col min="12803" max="12803" width="22.88671875" style="6" customWidth="1"/>
    <col min="12804" max="12804" width="13.33203125" style="6" customWidth="1"/>
    <col min="12805" max="12805" width="12.6640625" style="6" bestFit="1" customWidth="1"/>
    <col min="12806" max="13058" width="11.44140625" style="6"/>
    <col min="13059" max="13059" width="22.88671875" style="6" customWidth="1"/>
    <col min="13060" max="13060" width="13.33203125" style="6" customWidth="1"/>
    <col min="13061" max="13061" width="12.6640625" style="6" bestFit="1" customWidth="1"/>
    <col min="13062" max="13314" width="11.44140625" style="6"/>
    <col min="13315" max="13315" width="22.88671875" style="6" customWidth="1"/>
    <col min="13316" max="13316" width="13.33203125" style="6" customWidth="1"/>
    <col min="13317" max="13317" width="12.6640625" style="6" bestFit="1" customWidth="1"/>
    <col min="13318" max="13570" width="11.44140625" style="6"/>
    <col min="13571" max="13571" width="22.88671875" style="6" customWidth="1"/>
    <col min="13572" max="13572" width="13.33203125" style="6" customWidth="1"/>
    <col min="13573" max="13573" width="12.6640625" style="6" bestFit="1" customWidth="1"/>
    <col min="13574" max="13826" width="11.44140625" style="6"/>
    <col min="13827" max="13827" width="22.88671875" style="6" customWidth="1"/>
    <col min="13828" max="13828" width="13.33203125" style="6" customWidth="1"/>
    <col min="13829" max="13829" width="12.6640625" style="6" bestFit="1" customWidth="1"/>
    <col min="13830" max="14082" width="11.44140625" style="6"/>
    <col min="14083" max="14083" width="22.88671875" style="6" customWidth="1"/>
    <col min="14084" max="14084" width="13.33203125" style="6" customWidth="1"/>
    <col min="14085" max="14085" width="12.6640625" style="6" bestFit="1" customWidth="1"/>
    <col min="14086" max="14338" width="11.44140625" style="6"/>
    <col min="14339" max="14339" width="22.88671875" style="6" customWidth="1"/>
    <col min="14340" max="14340" width="13.33203125" style="6" customWidth="1"/>
    <col min="14341" max="14341" width="12.6640625" style="6" bestFit="1" customWidth="1"/>
    <col min="14342" max="14594" width="11.44140625" style="6"/>
    <col min="14595" max="14595" width="22.88671875" style="6" customWidth="1"/>
    <col min="14596" max="14596" width="13.33203125" style="6" customWidth="1"/>
    <col min="14597" max="14597" width="12.6640625" style="6" bestFit="1" customWidth="1"/>
    <col min="14598" max="14850" width="11.44140625" style="6"/>
    <col min="14851" max="14851" width="22.88671875" style="6" customWidth="1"/>
    <col min="14852" max="14852" width="13.33203125" style="6" customWidth="1"/>
    <col min="14853" max="14853" width="12.6640625" style="6" bestFit="1" customWidth="1"/>
    <col min="14854" max="15106" width="11.44140625" style="6"/>
    <col min="15107" max="15107" width="22.88671875" style="6" customWidth="1"/>
    <col min="15108" max="15108" width="13.33203125" style="6" customWidth="1"/>
    <col min="15109" max="15109" width="12.6640625" style="6" bestFit="1" customWidth="1"/>
    <col min="15110" max="15362" width="11.44140625" style="6"/>
    <col min="15363" max="15363" width="22.88671875" style="6" customWidth="1"/>
    <col min="15364" max="15364" width="13.33203125" style="6" customWidth="1"/>
    <col min="15365" max="15365" width="12.6640625" style="6" bestFit="1" customWidth="1"/>
    <col min="15366" max="15618" width="11.44140625" style="6"/>
    <col min="15619" max="15619" width="22.88671875" style="6" customWidth="1"/>
    <col min="15620" max="15620" width="13.33203125" style="6" customWidth="1"/>
    <col min="15621" max="15621" width="12.6640625" style="6" bestFit="1" customWidth="1"/>
    <col min="15622" max="15874" width="11.44140625" style="6"/>
    <col min="15875" max="15875" width="22.88671875" style="6" customWidth="1"/>
    <col min="15876" max="15876" width="13.33203125" style="6" customWidth="1"/>
    <col min="15877" max="15877" width="12.6640625" style="6" bestFit="1" customWidth="1"/>
    <col min="15878" max="16130" width="11.44140625" style="6"/>
    <col min="16131" max="16131" width="22.88671875" style="6" customWidth="1"/>
    <col min="16132" max="16132" width="13.33203125" style="6" customWidth="1"/>
    <col min="16133" max="16133" width="12.6640625" style="6" bestFit="1" customWidth="1"/>
    <col min="16134" max="16384" width="11.44140625" style="6"/>
  </cols>
  <sheetData>
    <row r="1" spans="3:15" ht="19.95" customHeight="1" x14ac:dyDescent="0.25">
      <c r="C1" s="624" t="s">
        <v>460</v>
      </c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</row>
    <row r="3" spans="3:15" x14ac:dyDescent="0.25">
      <c r="C3" s="184" t="s">
        <v>49</v>
      </c>
      <c r="D3" s="182">
        <v>230</v>
      </c>
    </row>
    <row r="4" spans="3:15" ht="4.95" customHeight="1" x14ac:dyDescent="0.25"/>
    <row r="5" spans="3:15" x14ac:dyDescent="0.25">
      <c r="C5" s="36"/>
      <c r="D5" s="28" t="s">
        <v>34</v>
      </c>
      <c r="E5" s="28" t="s">
        <v>39</v>
      </c>
      <c r="F5" s="28" t="s">
        <v>40</v>
      </c>
      <c r="G5" s="28" t="s">
        <v>41</v>
      </c>
      <c r="H5" s="28" t="s">
        <v>42</v>
      </c>
      <c r="I5" s="28" t="s">
        <v>43</v>
      </c>
      <c r="J5" s="28" t="s">
        <v>44</v>
      </c>
      <c r="K5" s="28" t="s">
        <v>45</v>
      </c>
      <c r="L5" s="28" t="s">
        <v>46</v>
      </c>
      <c r="M5" s="28" t="s">
        <v>47</v>
      </c>
      <c r="N5" s="28" t="s">
        <v>48</v>
      </c>
      <c r="O5" s="29" t="s">
        <v>38</v>
      </c>
    </row>
    <row r="6" spans="3:15" x14ac:dyDescent="0.25">
      <c r="C6" s="17" t="s">
        <v>15</v>
      </c>
      <c r="D6" s="175"/>
      <c r="E6" s="175">
        <f>$D$3*1125</f>
        <v>258750</v>
      </c>
      <c r="F6" s="175">
        <f t="shared" ref="F6:N6" si="0">$D$3*1125</f>
        <v>258750</v>
      </c>
      <c r="G6" s="175">
        <f t="shared" si="0"/>
        <v>258750</v>
      </c>
      <c r="H6" s="175">
        <f t="shared" si="0"/>
        <v>258750</v>
      </c>
      <c r="I6" s="175">
        <f t="shared" si="0"/>
        <v>258750</v>
      </c>
      <c r="J6" s="175">
        <f t="shared" si="0"/>
        <v>258750</v>
      </c>
      <c r="K6" s="175">
        <f t="shared" si="0"/>
        <v>258750</v>
      </c>
      <c r="L6" s="175">
        <f t="shared" si="0"/>
        <v>258750</v>
      </c>
      <c r="M6" s="175">
        <f t="shared" si="0"/>
        <v>258750</v>
      </c>
      <c r="N6" s="175">
        <f t="shared" si="0"/>
        <v>258750</v>
      </c>
      <c r="O6" s="18"/>
    </row>
    <row r="7" spans="3:15" x14ac:dyDescent="0.25">
      <c r="C7" s="19" t="s">
        <v>50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0">
        <v>170000</v>
      </c>
    </row>
    <row r="8" spans="3:15" x14ac:dyDescent="0.25">
      <c r="C8" s="19" t="s">
        <v>51</v>
      </c>
      <c r="D8" s="13"/>
      <c r="E8" s="13">
        <v>-90000</v>
      </c>
      <c r="F8" s="13">
        <v>-90000</v>
      </c>
      <c r="G8" s="13">
        <v>-90000</v>
      </c>
      <c r="H8" s="13">
        <v>-90000</v>
      </c>
      <c r="I8" s="13">
        <v>-90000</v>
      </c>
      <c r="J8" s="13">
        <v>-90000</v>
      </c>
      <c r="K8" s="13">
        <v>-90000</v>
      </c>
      <c r="L8" s="13">
        <v>-90000</v>
      </c>
      <c r="M8" s="13">
        <v>-90000</v>
      </c>
      <c r="N8" s="13">
        <v>-90000</v>
      </c>
      <c r="O8" s="20"/>
    </row>
    <row r="9" spans="3:15" x14ac:dyDescent="0.25">
      <c r="C9" s="19" t="s">
        <v>52</v>
      </c>
      <c r="D9" s="13"/>
      <c r="E9" s="13">
        <f>$D$16*10%</f>
        <v>-67000</v>
      </c>
      <c r="F9" s="13">
        <f t="shared" ref="F9:N9" si="1">$D$16*10%</f>
        <v>-67000</v>
      </c>
      <c r="G9" s="13">
        <f t="shared" si="1"/>
        <v>-67000</v>
      </c>
      <c r="H9" s="13">
        <f t="shared" si="1"/>
        <v>-67000</v>
      </c>
      <c r="I9" s="13">
        <f t="shared" si="1"/>
        <v>-67000</v>
      </c>
      <c r="J9" s="13">
        <f t="shared" si="1"/>
        <v>-67000</v>
      </c>
      <c r="K9" s="13">
        <f t="shared" si="1"/>
        <v>-67000</v>
      </c>
      <c r="L9" s="13">
        <f t="shared" si="1"/>
        <v>-67000</v>
      </c>
      <c r="M9" s="13">
        <f t="shared" si="1"/>
        <v>-67000</v>
      </c>
      <c r="N9" s="13">
        <f t="shared" si="1"/>
        <v>-67000</v>
      </c>
      <c r="O9" s="20"/>
    </row>
    <row r="10" spans="3:15" x14ac:dyDescent="0.25">
      <c r="C10" s="19" t="s">
        <v>53</v>
      </c>
      <c r="D10" s="13"/>
      <c r="E10" s="13">
        <f>-SUM(E6:E9)*30%</f>
        <v>-30525</v>
      </c>
      <c r="F10" s="13">
        <f t="shared" ref="F10:O10" si="2">-SUM(F6:F9)*30%</f>
        <v>-30525</v>
      </c>
      <c r="G10" s="13">
        <f t="shared" si="2"/>
        <v>-30525</v>
      </c>
      <c r="H10" s="13">
        <f t="shared" si="2"/>
        <v>-30525</v>
      </c>
      <c r="I10" s="13">
        <f t="shared" si="2"/>
        <v>-30525</v>
      </c>
      <c r="J10" s="13">
        <f t="shared" si="2"/>
        <v>-30525</v>
      </c>
      <c r="K10" s="13">
        <f t="shared" si="2"/>
        <v>-30525</v>
      </c>
      <c r="L10" s="13">
        <f t="shared" si="2"/>
        <v>-30525</v>
      </c>
      <c r="M10" s="13">
        <f t="shared" si="2"/>
        <v>-30525</v>
      </c>
      <c r="N10" s="13">
        <f t="shared" si="2"/>
        <v>-30525</v>
      </c>
      <c r="O10" s="20">
        <f t="shared" si="2"/>
        <v>-51000</v>
      </c>
    </row>
    <row r="11" spans="3:15" x14ac:dyDescent="0.25">
      <c r="C11" s="31" t="s">
        <v>28</v>
      </c>
      <c r="D11" s="32"/>
      <c r="E11" s="32">
        <f>SUM(E6:E10)</f>
        <v>71225</v>
      </c>
      <c r="F11" s="32">
        <f t="shared" ref="F11:O11" si="3">SUM(F6:F10)</f>
        <v>71225</v>
      </c>
      <c r="G11" s="32">
        <f t="shared" si="3"/>
        <v>71225</v>
      </c>
      <c r="H11" s="32">
        <f t="shared" si="3"/>
        <v>71225</v>
      </c>
      <c r="I11" s="32">
        <f t="shared" si="3"/>
        <v>71225</v>
      </c>
      <c r="J11" s="32">
        <f t="shared" si="3"/>
        <v>71225</v>
      </c>
      <c r="K11" s="32">
        <f t="shared" si="3"/>
        <v>71225</v>
      </c>
      <c r="L11" s="32">
        <f t="shared" si="3"/>
        <v>71225</v>
      </c>
      <c r="M11" s="32">
        <f t="shared" si="3"/>
        <v>71225</v>
      </c>
      <c r="N11" s="32">
        <f t="shared" si="3"/>
        <v>71225</v>
      </c>
      <c r="O11" s="33">
        <f t="shared" si="3"/>
        <v>119000</v>
      </c>
    </row>
    <row r="12" spans="3:15" x14ac:dyDescent="0.2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3:15" x14ac:dyDescent="0.25">
      <c r="C13" s="36"/>
      <c r="D13" s="28" t="s">
        <v>34</v>
      </c>
      <c r="E13" s="28" t="s">
        <v>39</v>
      </c>
      <c r="F13" s="28" t="s">
        <v>40</v>
      </c>
      <c r="G13" s="28" t="s">
        <v>41</v>
      </c>
      <c r="H13" s="28" t="s">
        <v>42</v>
      </c>
      <c r="I13" s="28" t="s">
        <v>43</v>
      </c>
      <c r="J13" s="28" t="s">
        <v>44</v>
      </c>
      <c r="K13" s="28" t="s">
        <v>45</v>
      </c>
      <c r="L13" s="28" t="s">
        <v>46</v>
      </c>
      <c r="M13" s="28" t="s">
        <v>47</v>
      </c>
      <c r="N13" s="28" t="s">
        <v>48</v>
      </c>
      <c r="O13" s="29" t="s">
        <v>38</v>
      </c>
    </row>
    <row r="14" spans="3:15" x14ac:dyDescent="0.25">
      <c r="C14" s="19" t="s">
        <v>54</v>
      </c>
      <c r="D14" s="13"/>
      <c r="E14" s="13">
        <f>+E11</f>
        <v>71225</v>
      </c>
      <c r="F14" s="13">
        <f t="shared" ref="F14:O14" si="4">+F11</f>
        <v>71225</v>
      </c>
      <c r="G14" s="13">
        <f t="shared" si="4"/>
        <v>71225</v>
      </c>
      <c r="H14" s="13">
        <f t="shared" si="4"/>
        <v>71225</v>
      </c>
      <c r="I14" s="13">
        <f t="shared" si="4"/>
        <v>71225</v>
      </c>
      <c r="J14" s="13">
        <f t="shared" si="4"/>
        <v>71225</v>
      </c>
      <c r="K14" s="13">
        <f t="shared" si="4"/>
        <v>71225</v>
      </c>
      <c r="L14" s="13">
        <f t="shared" si="4"/>
        <v>71225</v>
      </c>
      <c r="M14" s="13">
        <f t="shared" si="4"/>
        <v>71225</v>
      </c>
      <c r="N14" s="13">
        <f t="shared" si="4"/>
        <v>71225</v>
      </c>
      <c r="O14" s="20">
        <f t="shared" si="4"/>
        <v>119000</v>
      </c>
    </row>
    <row r="15" spans="3:15" x14ac:dyDescent="0.25">
      <c r="C15" s="19" t="s">
        <v>55</v>
      </c>
      <c r="D15" s="13"/>
      <c r="E15" s="13">
        <f>-E9</f>
        <v>67000</v>
      </c>
      <c r="F15" s="13">
        <f t="shared" ref="F15:N15" si="5">-F9</f>
        <v>67000</v>
      </c>
      <c r="G15" s="13">
        <f t="shared" si="5"/>
        <v>67000</v>
      </c>
      <c r="H15" s="13">
        <f t="shared" si="5"/>
        <v>67000</v>
      </c>
      <c r="I15" s="13">
        <f t="shared" si="5"/>
        <v>67000</v>
      </c>
      <c r="J15" s="13">
        <f t="shared" si="5"/>
        <v>67000</v>
      </c>
      <c r="K15" s="13">
        <f t="shared" si="5"/>
        <v>67000</v>
      </c>
      <c r="L15" s="13">
        <f t="shared" si="5"/>
        <v>67000</v>
      </c>
      <c r="M15" s="13">
        <f t="shared" si="5"/>
        <v>67000</v>
      </c>
      <c r="N15" s="13">
        <f t="shared" si="5"/>
        <v>67000</v>
      </c>
      <c r="O15" s="20"/>
    </row>
    <row r="16" spans="3:15" x14ac:dyDescent="0.25">
      <c r="C16" s="19" t="s">
        <v>19</v>
      </c>
      <c r="D16" s="13">
        <v>-670000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0"/>
    </row>
    <row r="17" spans="3:15" x14ac:dyDescent="0.25">
      <c r="C17" s="31" t="s">
        <v>21</v>
      </c>
      <c r="D17" s="32">
        <f>SUM(D14:D16)</f>
        <v>-670000</v>
      </c>
      <c r="E17" s="32">
        <f t="shared" ref="E17:O17" si="6">SUM(E14:E16)</f>
        <v>138225</v>
      </c>
      <c r="F17" s="32">
        <f t="shared" si="6"/>
        <v>138225</v>
      </c>
      <c r="G17" s="32">
        <f t="shared" si="6"/>
        <v>138225</v>
      </c>
      <c r="H17" s="32">
        <f t="shared" si="6"/>
        <v>138225</v>
      </c>
      <c r="I17" s="32">
        <f t="shared" si="6"/>
        <v>138225</v>
      </c>
      <c r="J17" s="32">
        <f t="shared" si="6"/>
        <v>138225</v>
      </c>
      <c r="K17" s="32">
        <f t="shared" si="6"/>
        <v>138225</v>
      </c>
      <c r="L17" s="32">
        <f t="shared" si="6"/>
        <v>138225</v>
      </c>
      <c r="M17" s="32">
        <f t="shared" si="6"/>
        <v>138225</v>
      </c>
      <c r="N17" s="32">
        <f t="shared" si="6"/>
        <v>138225</v>
      </c>
      <c r="O17" s="33">
        <f t="shared" si="6"/>
        <v>119000</v>
      </c>
    </row>
    <row r="18" spans="3:15" x14ac:dyDescent="0.25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3:15" x14ac:dyDescent="0.25">
      <c r="C19" s="36" t="s">
        <v>27</v>
      </c>
      <c r="D19" s="30">
        <f>+D17+NPV(12%,E17:O17)</f>
        <v>145211.73448985303</v>
      </c>
    </row>
    <row r="20" spans="3:15" ht="4.95" customHeight="1" x14ac:dyDescent="0.25"/>
    <row r="21" spans="3:15" ht="4.95" customHeight="1" x14ac:dyDescent="0.25"/>
    <row r="22" spans="3:15" ht="4.95" customHeight="1" x14ac:dyDescent="0.25"/>
    <row r="23" spans="3:15" x14ac:dyDescent="0.25">
      <c r="C23" s="499" t="s">
        <v>49</v>
      </c>
      <c r="D23" s="500">
        <v>197.36485402553922</v>
      </c>
    </row>
    <row r="24" spans="3:15" x14ac:dyDescent="0.25">
      <c r="C24" s="36"/>
      <c r="D24" s="28" t="s">
        <v>34</v>
      </c>
      <c r="E24" s="28" t="s">
        <v>39</v>
      </c>
      <c r="F24" s="28" t="s">
        <v>40</v>
      </c>
      <c r="G24" s="28" t="s">
        <v>41</v>
      </c>
      <c r="H24" s="28" t="s">
        <v>42</v>
      </c>
      <c r="I24" s="28" t="s">
        <v>43</v>
      </c>
      <c r="J24" s="28" t="s">
        <v>44</v>
      </c>
      <c r="K24" s="28" t="s">
        <v>45</v>
      </c>
      <c r="L24" s="28" t="s">
        <v>46</v>
      </c>
      <c r="M24" s="28" t="s">
        <v>47</v>
      </c>
      <c r="N24" s="28" t="s">
        <v>48</v>
      </c>
      <c r="O24" s="29" t="s">
        <v>38</v>
      </c>
    </row>
    <row r="25" spans="3:15" x14ac:dyDescent="0.25">
      <c r="C25" s="19" t="s">
        <v>15</v>
      </c>
      <c r="D25" s="13"/>
      <c r="E25" s="13">
        <f>$D$23*1125</f>
        <v>222035.46077873162</v>
      </c>
      <c r="F25" s="13">
        <f t="shared" ref="F25:N25" si="7">$D$23*1125</f>
        <v>222035.46077873162</v>
      </c>
      <c r="G25" s="13">
        <f t="shared" si="7"/>
        <v>222035.46077873162</v>
      </c>
      <c r="H25" s="13">
        <f t="shared" si="7"/>
        <v>222035.46077873162</v>
      </c>
      <c r="I25" s="13">
        <f t="shared" si="7"/>
        <v>222035.46077873162</v>
      </c>
      <c r="J25" s="13">
        <f t="shared" si="7"/>
        <v>222035.46077873162</v>
      </c>
      <c r="K25" s="13">
        <f t="shared" si="7"/>
        <v>222035.46077873162</v>
      </c>
      <c r="L25" s="13">
        <f t="shared" si="7"/>
        <v>222035.46077873162</v>
      </c>
      <c r="M25" s="13">
        <f t="shared" si="7"/>
        <v>222035.46077873162</v>
      </c>
      <c r="N25" s="13">
        <f t="shared" si="7"/>
        <v>222035.46077873162</v>
      </c>
      <c r="O25" s="20"/>
    </row>
    <row r="26" spans="3:15" x14ac:dyDescent="0.25">
      <c r="C26" s="19" t="s">
        <v>50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0">
        <v>170000</v>
      </c>
    </row>
    <row r="27" spans="3:15" x14ac:dyDescent="0.25">
      <c r="C27" s="19" t="s">
        <v>51</v>
      </c>
      <c r="D27" s="13"/>
      <c r="E27" s="13">
        <v>-90000</v>
      </c>
      <c r="F27" s="13">
        <v>-90000</v>
      </c>
      <c r="G27" s="13">
        <v>-90000</v>
      </c>
      <c r="H27" s="13">
        <v>-90000</v>
      </c>
      <c r="I27" s="13">
        <v>-90000</v>
      </c>
      <c r="J27" s="13">
        <v>-90000</v>
      </c>
      <c r="K27" s="13">
        <v>-90000</v>
      </c>
      <c r="L27" s="13">
        <v>-90000</v>
      </c>
      <c r="M27" s="13">
        <v>-90000</v>
      </c>
      <c r="N27" s="13">
        <v>-90000</v>
      </c>
      <c r="O27" s="20"/>
    </row>
    <row r="28" spans="3:15" x14ac:dyDescent="0.25">
      <c r="C28" s="19" t="s">
        <v>52</v>
      </c>
      <c r="D28" s="13"/>
      <c r="E28" s="13">
        <f>$D$16*10%</f>
        <v>-67000</v>
      </c>
      <c r="F28" s="13">
        <f t="shared" ref="F28:N28" si="8">$D$16*10%</f>
        <v>-67000</v>
      </c>
      <c r="G28" s="13">
        <f t="shared" si="8"/>
        <v>-67000</v>
      </c>
      <c r="H28" s="13">
        <f t="shared" si="8"/>
        <v>-67000</v>
      </c>
      <c r="I28" s="13">
        <f t="shared" si="8"/>
        <v>-67000</v>
      </c>
      <c r="J28" s="13">
        <f t="shared" si="8"/>
        <v>-67000</v>
      </c>
      <c r="K28" s="13">
        <f t="shared" si="8"/>
        <v>-67000</v>
      </c>
      <c r="L28" s="13">
        <f t="shared" si="8"/>
        <v>-67000</v>
      </c>
      <c r="M28" s="13">
        <f t="shared" si="8"/>
        <v>-67000</v>
      </c>
      <c r="N28" s="13">
        <f t="shared" si="8"/>
        <v>-67000</v>
      </c>
      <c r="O28" s="20"/>
    </row>
    <row r="29" spans="3:15" x14ac:dyDescent="0.25">
      <c r="C29" s="19" t="s">
        <v>53</v>
      </c>
      <c r="D29" s="13"/>
      <c r="E29" s="13">
        <f>-SUM(E25:E28)*30%</f>
        <v>-19510.638233619484</v>
      </c>
      <c r="F29" s="13">
        <f t="shared" ref="F29" si="9">-SUM(F25:F28)*30%</f>
        <v>-19510.638233619484</v>
      </c>
      <c r="G29" s="13">
        <f t="shared" ref="G29:O29" si="10">-SUM(G25:G28)*30%</f>
        <v>-19510.638233619484</v>
      </c>
      <c r="H29" s="13">
        <f t="shared" si="10"/>
        <v>-19510.638233619484</v>
      </c>
      <c r="I29" s="13">
        <f t="shared" si="10"/>
        <v>-19510.638233619484</v>
      </c>
      <c r="J29" s="13">
        <f t="shared" si="10"/>
        <v>-19510.638233619484</v>
      </c>
      <c r="K29" s="13">
        <f t="shared" si="10"/>
        <v>-19510.638233619484</v>
      </c>
      <c r="L29" s="13">
        <f t="shared" si="10"/>
        <v>-19510.638233619484</v>
      </c>
      <c r="M29" s="13">
        <f t="shared" si="10"/>
        <v>-19510.638233619484</v>
      </c>
      <c r="N29" s="13">
        <f t="shared" si="10"/>
        <v>-19510.638233619484</v>
      </c>
      <c r="O29" s="20">
        <f t="shared" si="10"/>
        <v>-51000</v>
      </c>
    </row>
    <row r="30" spans="3:15" x14ac:dyDescent="0.25">
      <c r="C30" s="31" t="s">
        <v>28</v>
      </c>
      <c r="D30" s="32"/>
      <c r="E30" s="32">
        <f>SUM(E25:E29)</f>
        <v>45524.82254511214</v>
      </c>
      <c r="F30" s="32">
        <f t="shared" ref="F30:O30" si="11">SUM(F25:F29)</f>
        <v>45524.82254511214</v>
      </c>
      <c r="G30" s="32">
        <f t="shared" si="11"/>
        <v>45524.82254511214</v>
      </c>
      <c r="H30" s="32">
        <f t="shared" si="11"/>
        <v>45524.82254511214</v>
      </c>
      <c r="I30" s="32">
        <f t="shared" si="11"/>
        <v>45524.82254511214</v>
      </c>
      <c r="J30" s="32">
        <f t="shared" si="11"/>
        <v>45524.82254511214</v>
      </c>
      <c r="K30" s="32">
        <f t="shared" si="11"/>
        <v>45524.82254511214</v>
      </c>
      <c r="L30" s="32">
        <f t="shared" si="11"/>
        <v>45524.82254511214</v>
      </c>
      <c r="M30" s="32">
        <f t="shared" si="11"/>
        <v>45524.82254511214</v>
      </c>
      <c r="N30" s="32">
        <f t="shared" si="11"/>
        <v>45524.82254511214</v>
      </c>
      <c r="O30" s="33">
        <f t="shared" si="11"/>
        <v>119000</v>
      </c>
    </row>
    <row r="31" spans="3:15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3:15" x14ac:dyDescent="0.25">
      <c r="C32" s="36"/>
      <c r="D32" s="28" t="s">
        <v>34</v>
      </c>
      <c r="E32" s="28" t="s">
        <v>39</v>
      </c>
      <c r="F32" s="28" t="s">
        <v>40</v>
      </c>
      <c r="G32" s="28" t="s">
        <v>41</v>
      </c>
      <c r="H32" s="28" t="s">
        <v>42</v>
      </c>
      <c r="I32" s="28" t="s">
        <v>43</v>
      </c>
      <c r="J32" s="28" t="s">
        <v>44</v>
      </c>
      <c r="K32" s="28" t="s">
        <v>45</v>
      </c>
      <c r="L32" s="28" t="s">
        <v>46</v>
      </c>
      <c r="M32" s="28" t="s">
        <v>47</v>
      </c>
      <c r="N32" s="28" t="s">
        <v>48</v>
      </c>
      <c r="O32" s="29" t="s">
        <v>38</v>
      </c>
    </row>
    <row r="33" spans="3:15" x14ac:dyDescent="0.25">
      <c r="C33" s="19" t="s">
        <v>54</v>
      </c>
      <c r="D33" s="13"/>
      <c r="E33" s="13">
        <f>+E30</f>
        <v>45524.82254511214</v>
      </c>
      <c r="F33" s="13">
        <f t="shared" ref="F33:O33" si="12">+F30</f>
        <v>45524.82254511214</v>
      </c>
      <c r="G33" s="13">
        <f t="shared" si="12"/>
        <v>45524.82254511214</v>
      </c>
      <c r="H33" s="13">
        <f t="shared" si="12"/>
        <v>45524.82254511214</v>
      </c>
      <c r="I33" s="13">
        <f t="shared" si="12"/>
        <v>45524.82254511214</v>
      </c>
      <c r="J33" s="13">
        <f t="shared" si="12"/>
        <v>45524.82254511214</v>
      </c>
      <c r="K33" s="13">
        <f t="shared" si="12"/>
        <v>45524.82254511214</v>
      </c>
      <c r="L33" s="13">
        <f t="shared" si="12"/>
        <v>45524.82254511214</v>
      </c>
      <c r="M33" s="13">
        <f t="shared" si="12"/>
        <v>45524.82254511214</v>
      </c>
      <c r="N33" s="13">
        <f t="shared" si="12"/>
        <v>45524.82254511214</v>
      </c>
      <c r="O33" s="20">
        <f t="shared" si="12"/>
        <v>119000</v>
      </c>
    </row>
    <row r="34" spans="3:15" x14ac:dyDescent="0.25">
      <c r="C34" s="19" t="s">
        <v>55</v>
      </c>
      <c r="D34" s="13"/>
      <c r="E34" s="13">
        <f>-E28</f>
        <v>67000</v>
      </c>
      <c r="F34" s="13">
        <f t="shared" ref="F34:N34" si="13">-F28</f>
        <v>67000</v>
      </c>
      <c r="G34" s="13">
        <f t="shared" si="13"/>
        <v>67000</v>
      </c>
      <c r="H34" s="13">
        <f t="shared" si="13"/>
        <v>67000</v>
      </c>
      <c r="I34" s="13">
        <f t="shared" si="13"/>
        <v>67000</v>
      </c>
      <c r="J34" s="13">
        <f t="shared" si="13"/>
        <v>67000</v>
      </c>
      <c r="K34" s="13">
        <f t="shared" si="13"/>
        <v>67000</v>
      </c>
      <c r="L34" s="13">
        <f t="shared" si="13"/>
        <v>67000</v>
      </c>
      <c r="M34" s="13">
        <f t="shared" si="13"/>
        <v>67000</v>
      </c>
      <c r="N34" s="13">
        <f t="shared" si="13"/>
        <v>67000</v>
      </c>
      <c r="O34" s="20"/>
    </row>
    <row r="35" spans="3:15" x14ac:dyDescent="0.25">
      <c r="C35" s="19" t="s">
        <v>19</v>
      </c>
      <c r="D35" s="13">
        <v>-670000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20"/>
    </row>
    <row r="36" spans="3:15" x14ac:dyDescent="0.25">
      <c r="C36" s="31" t="s">
        <v>21</v>
      </c>
      <c r="D36" s="32">
        <f>SUM(D33:D35)</f>
        <v>-670000</v>
      </c>
      <c r="E36" s="32">
        <f t="shared" ref="E36:O36" si="14">SUM(E33:E35)</f>
        <v>112524.82254511214</v>
      </c>
      <c r="F36" s="32">
        <f t="shared" si="14"/>
        <v>112524.82254511214</v>
      </c>
      <c r="G36" s="32">
        <f t="shared" si="14"/>
        <v>112524.82254511214</v>
      </c>
      <c r="H36" s="32">
        <f t="shared" si="14"/>
        <v>112524.82254511214</v>
      </c>
      <c r="I36" s="32">
        <f t="shared" si="14"/>
        <v>112524.82254511214</v>
      </c>
      <c r="J36" s="32">
        <f t="shared" si="14"/>
        <v>112524.82254511214</v>
      </c>
      <c r="K36" s="32">
        <f t="shared" si="14"/>
        <v>112524.82254511214</v>
      </c>
      <c r="L36" s="32">
        <f t="shared" si="14"/>
        <v>112524.82254511214</v>
      </c>
      <c r="M36" s="32">
        <f t="shared" si="14"/>
        <v>112524.82254511214</v>
      </c>
      <c r="N36" s="32">
        <f t="shared" si="14"/>
        <v>112524.82254511214</v>
      </c>
      <c r="O36" s="33">
        <f t="shared" si="14"/>
        <v>119000</v>
      </c>
    </row>
    <row r="37" spans="3:15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3:15" x14ac:dyDescent="0.25">
      <c r="C38" s="36" t="s">
        <v>27</v>
      </c>
      <c r="D38" s="30">
        <f>+D36+NPV(12%,E36:O36)</f>
        <v>0</v>
      </c>
    </row>
  </sheetData>
  <sheetProtection algorithmName="SHA-512" hashValue="7z6XkzNSBQUwkRa118FM8Iq1H8Z/7K4X5cU/itTpmxCqDNbsKQFpHDTmgEKVgisHfoGqZGInLVnbiXM41q7JkQ==" saltValue="d6Ed2ibdvyF98HWhYWiaAw==" spinCount="100000" sheet="1" objects="1" scenarios="1"/>
  <mergeCells count="1">
    <mergeCell ref="C1:O1"/>
  </mergeCells>
  <hyperlinks>
    <hyperlink ref="C19" r:id="rId1" display="VPN@12%" xr:uid="{00000000-0004-0000-0D00-000000000000}"/>
    <hyperlink ref="C38" r:id="rId2" display="VPN@12%" xr:uid="{00000000-0004-0000-0D00-000001000000}"/>
  </hyperlinks>
  <pageMargins left="0.7" right="0.7" top="0.75" bottom="0.75" header="0.3" footer="0.3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1:G21"/>
  <sheetViews>
    <sheetView zoomScaleNormal="100" workbookViewId="0"/>
  </sheetViews>
  <sheetFormatPr baseColWidth="10" defaultRowHeight="13.8" x14ac:dyDescent="0.25"/>
  <cols>
    <col min="1" max="1" width="13" style="218" customWidth="1"/>
    <col min="2" max="2" width="11.44140625" style="218"/>
    <col min="3" max="3" width="31.33203125" style="218" customWidth="1"/>
    <col min="4" max="8" width="11.44140625" style="218"/>
    <col min="9" max="9" width="3.109375" style="218" customWidth="1"/>
    <col min="10" max="10" width="11.44140625" style="218"/>
    <col min="11" max="11" width="1.88671875" style="218" customWidth="1"/>
    <col min="12" max="258" width="11.44140625" style="218"/>
    <col min="259" max="259" width="31.33203125" style="218" customWidth="1"/>
    <col min="260" max="514" width="11.44140625" style="218"/>
    <col min="515" max="515" width="31.33203125" style="218" customWidth="1"/>
    <col min="516" max="770" width="11.44140625" style="218"/>
    <col min="771" max="771" width="31.33203125" style="218" customWidth="1"/>
    <col min="772" max="1026" width="11.44140625" style="218"/>
    <col min="1027" max="1027" width="31.33203125" style="218" customWidth="1"/>
    <col min="1028" max="1282" width="11.44140625" style="218"/>
    <col min="1283" max="1283" width="31.33203125" style="218" customWidth="1"/>
    <col min="1284" max="1538" width="11.44140625" style="218"/>
    <col min="1539" max="1539" width="31.33203125" style="218" customWidth="1"/>
    <col min="1540" max="1794" width="11.44140625" style="218"/>
    <col min="1795" max="1795" width="31.33203125" style="218" customWidth="1"/>
    <col min="1796" max="2050" width="11.44140625" style="218"/>
    <col min="2051" max="2051" width="31.33203125" style="218" customWidth="1"/>
    <col min="2052" max="2306" width="11.44140625" style="218"/>
    <col min="2307" max="2307" width="31.33203125" style="218" customWidth="1"/>
    <col min="2308" max="2562" width="11.44140625" style="218"/>
    <col min="2563" max="2563" width="31.33203125" style="218" customWidth="1"/>
    <col min="2564" max="2818" width="11.44140625" style="218"/>
    <col min="2819" max="2819" width="31.33203125" style="218" customWidth="1"/>
    <col min="2820" max="3074" width="11.44140625" style="218"/>
    <col min="3075" max="3075" width="31.33203125" style="218" customWidth="1"/>
    <col min="3076" max="3330" width="11.44140625" style="218"/>
    <col min="3331" max="3331" width="31.33203125" style="218" customWidth="1"/>
    <col min="3332" max="3586" width="11.44140625" style="218"/>
    <col min="3587" max="3587" width="31.33203125" style="218" customWidth="1"/>
    <col min="3588" max="3842" width="11.44140625" style="218"/>
    <col min="3843" max="3843" width="31.33203125" style="218" customWidth="1"/>
    <col min="3844" max="4098" width="11.44140625" style="218"/>
    <col min="4099" max="4099" width="31.33203125" style="218" customWidth="1"/>
    <col min="4100" max="4354" width="11.44140625" style="218"/>
    <col min="4355" max="4355" width="31.33203125" style="218" customWidth="1"/>
    <col min="4356" max="4610" width="11.44140625" style="218"/>
    <col min="4611" max="4611" width="31.33203125" style="218" customWidth="1"/>
    <col min="4612" max="4866" width="11.44140625" style="218"/>
    <col min="4867" max="4867" width="31.33203125" style="218" customWidth="1"/>
    <col min="4868" max="5122" width="11.44140625" style="218"/>
    <col min="5123" max="5123" width="31.33203125" style="218" customWidth="1"/>
    <col min="5124" max="5378" width="11.44140625" style="218"/>
    <col min="5379" max="5379" width="31.33203125" style="218" customWidth="1"/>
    <col min="5380" max="5634" width="11.44140625" style="218"/>
    <col min="5635" max="5635" width="31.33203125" style="218" customWidth="1"/>
    <col min="5636" max="5890" width="11.44140625" style="218"/>
    <col min="5891" max="5891" width="31.33203125" style="218" customWidth="1"/>
    <col min="5892" max="6146" width="11.44140625" style="218"/>
    <col min="6147" max="6147" width="31.33203125" style="218" customWidth="1"/>
    <col min="6148" max="6402" width="11.44140625" style="218"/>
    <col min="6403" max="6403" width="31.33203125" style="218" customWidth="1"/>
    <col min="6404" max="6658" width="11.44140625" style="218"/>
    <col min="6659" max="6659" width="31.33203125" style="218" customWidth="1"/>
    <col min="6660" max="6914" width="11.44140625" style="218"/>
    <col min="6915" max="6915" width="31.33203125" style="218" customWidth="1"/>
    <col min="6916" max="7170" width="11.44140625" style="218"/>
    <col min="7171" max="7171" width="31.33203125" style="218" customWidth="1"/>
    <col min="7172" max="7426" width="11.44140625" style="218"/>
    <col min="7427" max="7427" width="31.33203125" style="218" customWidth="1"/>
    <col min="7428" max="7682" width="11.44140625" style="218"/>
    <col min="7683" max="7683" width="31.33203125" style="218" customWidth="1"/>
    <col min="7684" max="7938" width="11.44140625" style="218"/>
    <col min="7939" max="7939" width="31.33203125" style="218" customWidth="1"/>
    <col min="7940" max="8194" width="11.44140625" style="218"/>
    <col min="8195" max="8195" width="31.33203125" style="218" customWidth="1"/>
    <col min="8196" max="8450" width="11.44140625" style="218"/>
    <col min="8451" max="8451" width="31.33203125" style="218" customWidth="1"/>
    <col min="8452" max="8706" width="11.44140625" style="218"/>
    <col min="8707" max="8707" width="31.33203125" style="218" customWidth="1"/>
    <col min="8708" max="8962" width="11.44140625" style="218"/>
    <col min="8963" max="8963" width="31.33203125" style="218" customWidth="1"/>
    <col min="8964" max="9218" width="11.44140625" style="218"/>
    <col min="9219" max="9219" width="31.33203125" style="218" customWidth="1"/>
    <col min="9220" max="9474" width="11.44140625" style="218"/>
    <col min="9475" max="9475" width="31.33203125" style="218" customWidth="1"/>
    <col min="9476" max="9730" width="11.44140625" style="218"/>
    <col min="9731" max="9731" width="31.33203125" style="218" customWidth="1"/>
    <col min="9732" max="9986" width="11.44140625" style="218"/>
    <col min="9987" max="9987" width="31.33203125" style="218" customWidth="1"/>
    <col min="9988" max="10242" width="11.44140625" style="218"/>
    <col min="10243" max="10243" width="31.33203125" style="218" customWidth="1"/>
    <col min="10244" max="10498" width="11.44140625" style="218"/>
    <col min="10499" max="10499" width="31.33203125" style="218" customWidth="1"/>
    <col min="10500" max="10754" width="11.44140625" style="218"/>
    <col min="10755" max="10755" width="31.33203125" style="218" customWidth="1"/>
    <col min="10756" max="11010" width="11.44140625" style="218"/>
    <col min="11011" max="11011" width="31.33203125" style="218" customWidth="1"/>
    <col min="11012" max="11266" width="11.44140625" style="218"/>
    <col min="11267" max="11267" width="31.33203125" style="218" customWidth="1"/>
    <col min="11268" max="11522" width="11.44140625" style="218"/>
    <col min="11523" max="11523" width="31.33203125" style="218" customWidth="1"/>
    <col min="11524" max="11778" width="11.44140625" style="218"/>
    <col min="11779" max="11779" width="31.33203125" style="218" customWidth="1"/>
    <col min="11780" max="12034" width="11.44140625" style="218"/>
    <col min="12035" max="12035" width="31.33203125" style="218" customWidth="1"/>
    <col min="12036" max="12290" width="11.44140625" style="218"/>
    <col min="12291" max="12291" width="31.33203125" style="218" customWidth="1"/>
    <col min="12292" max="12546" width="11.44140625" style="218"/>
    <col min="12547" max="12547" width="31.33203125" style="218" customWidth="1"/>
    <col min="12548" max="12802" width="11.44140625" style="218"/>
    <col min="12803" max="12803" width="31.33203125" style="218" customWidth="1"/>
    <col min="12804" max="13058" width="11.44140625" style="218"/>
    <col min="13059" max="13059" width="31.33203125" style="218" customWidth="1"/>
    <col min="13060" max="13314" width="11.44140625" style="218"/>
    <col min="13315" max="13315" width="31.33203125" style="218" customWidth="1"/>
    <col min="13316" max="13570" width="11.44140625" style="218"/>
    <col min="13571" max="13571" width="31.33203125" style="218" customWidth="1"/>
    <col min="13572" max="13826" width="11.44140625" style="218"/>
    <col min="13827" max="13827" width="31.33203125" style="218" customWidth="1"/>
    <col min="13828" max="14082" width="11.44140625" style="218"/>
    <col min="14083" max="14083" width="31.33203125" style="218" customWidth="1"/>
    <col min="14084" max="14338" width="11.44140625" style="218"/>
    <col min="14339" max="14339" width="31.33203125" style="218" customWidth="1"/>
    <col min="14340" max="14594" width="11.44140625" style="218"/>
    <col min="14595" max="14595" width="31.33203125" style="218" customWidth="1"/>
    <col min="14596" max="14850" width="11.44140625" style="218"/>
    <col min="14851" max="14851" width="31.33203125" style="218" customWidth="1"/>
    <col min="14852" max="15106" width="11.44140625" style="218"/>
    <col min="15107" max="15107" width="31.33203125" style="218" customWidth="1"/>
    <col min="15108" max="15362" width="11.44140625" style="218"/>
    <col min="15363" max="15363" width="31.33203125" style="218" customWidth="1"/>
    <col min="15364" max="15618" width="11.44140625" style="218"/>
    <col min="15619" max="15619" width="31.33203125" style="218" customWidth="1"/>
    <col min="15620" max="15874" width="11.44140625" style="218"/>
    <col min="15875" max="15875" width="31.33203125" style="218" customWidth="1"/>
    <col min="15876" max="16130" width="11.44140625" style="218"/>
    <col min="16131" max="16131" width="31.33203125" style="218" customWidth="1"/>
    <col min="16132" max="16384" width="11.44140625" style="218"/>
  </cols>
  <sheetData>
    <row r="1" spans="3:7" ht="19.95" customHeight="1" x14ac:dyDescent="0.25">
      <c r="C1" s="602" t="s">
        <v>459</v>
      </c>
      <c r="D1" s="602"/>
      <c r="E1" s="602"/>
      <c r="F1" s="602"/>
      <c r="G1" s="602"/>
    </row>
    <row r="3" spans="3:7" x14ac:dyDescent="0.25">
      <c r="C3" s="242"/>
      <c r="D3" s="483" t="s">
        <v>34</v>
      </c>
      <c r="E3" s="484" t="s">
        <v>403</v>
      </c>
    </row>
    <row r="4" spans="3:7" x14ac:dyDescent="0.25">
      <c r="C4" s="223" t="s">
        <v>56</v>
      </c>
      <c r="D4" s="225"/>
      <c r="E4" s="495" t="s">
        <v>32</v>
      </c>
    </row>
    <row r="5" spans="3:7" x14ac:dyDescent="0.25">
      <c r="C5" s="223" t="s">
        <v>58</v>
      </c>
      <c r="D5" s="225"/>
      <c r="E5" s="495">
        <v>-2000</v>
      </c>
    </row>
    <row r="6" spans="3:7" x14ac:dyDescent="0.25">
      <c r="C6" s="223" t="s">
        <v>59</v>
      </c>
      <c r="D6" s="225"/>
      <c r="E6" s="495">
        <v>-9000</v>
      </c>
    </row>
    <row r="7" spans="3:7" x14ac:dyDescent="0.25">
      <c r="C7" s="223" t="s">
        <v>60</v>
      </c>
      <c r="D7" s="225"/>
      <c r="E7" s="495">
        <v>-1000</v>
      </c>
    </row>
    <row r="8" spans="3:7" x14ac:dyDescent="0.25">
      <c r="C8" s="223" t="s">
        <v>61</v>
      </c>
      <c r="D8" s="225"/>
      <c r="E8" s="495" t="s">
        <v>57</v>
      </c>
    </row>
    <row r="9" spans="3:7" x14ac:dyDescent="0.25">
      <c r="C9" s="223" t="s">
        <v>62</v>
      </c>
      <c r="D9" s="225"/>
      <c r="E9" s="226"/>
    </row>
    <row r="10" spans="3:7" x14ac:dyDescent="0.25">
      <c r="C10" s="223" t="s">
        <v>63</v>
      </c>
      <c r="D10" s="225">
        <v>-24000</v>
      </c>
      <c r="E10" s="226"/>
    </row>
    <row r="11" spans="3:7" x14ac:dyDescent="0.25">
      <c r="C11" s="223" t="s">
        <v>64</v>
      </c>
      <c r="D11" s="225">
        <v>-8000</v>
      </c>
      <c r="E11" s="226"/>
    </row>
    <row r="12" spans="3:7" x14ac:dyDescent="0.25">
      <c r="C12" s="223" t="s">
        <v>65</v>
      </c>
      <c r="D12" s="225">
        <v>-5000</v>
      </c>
      <c r="E12" s="226"/>
    </row>
    <row r="13" spans="3:7" x14ac:dyDescent="0.25">
      <c r="C13" s="223" t="s">
        <v>66</v>
      </c>
      <c r="D13" s="225">
        <v>-3000</v>
      </c>
      <c r="E13" s="226"/>
    </row>
    <row r="14" spans="3:7" x14ac:dyDescent="0.25">
      <c r="C14" s="236" t="s">
        <v>21</v>
      </c>
      <c r="D14" s="237">
        <f>SUM(D10:D13)</f>
        <v>-40000</v>
      </c>
      <c r="E14" s="496" t="s">
        <v>57</v>
      </c>
    </row>
    <row r="15" spans="3:7" ht="6" customHeight="1" x14ac:dyDescent="0.25"/>
    <row r="16" spans="3:7" ht="6" customHeight="1" x14ac:dyDescent="0.25"/>
    <row r="17" spans="3:7" ht="6" customHeight="1" x14ac:dyDescent="0.25"/>
    <row r="18" spans="3:7" x14ac:dyDescent="0.25">
      <c r="C18" s="625">
        <f>+D14</f>
        <v>-40000</v>
      </c>
      <c r="D18" s="627" t="s">
        <v>37</v>
      </c>
      <c r="E18" s="497" t="s">
        <v>91</v>
      </c>
      <c r="F18" s="627" t="s">
        <v>24</v>
      </c>
      <c r="G18" s="629">
        <v>0</v>
      </c>
    </row>
    <row r="19" spans="3:7" x14ac:dyDescent="0.25">
      <c r="C19" s="626"/>
      <c r="D19" s="628"/>
      <c r="E19" s="387">
        <v>0.1</v>
      </c>
      <c r="F19" s="628"/>
      <c r="G19" s="630"/>
    </row>
    <row r="20" spans="3:7" x14ac:dyDescent="0.25">
      <c r="C20" s="388"/>
      <c r="D20" s="385"/>
      <c r="E20" s="385"/>
      <c r="F20" s="385"/>
      <c r="G20" s="413"/>
    </row>
    <row r="21" spans="3:7" x14ac:dyDescent="0.25">
      <c r="C21" s="498" t="s">
        <v>32</v>
      </c>
      <c r="D21" s="423" t="s">
        <v>24</v>
      </c>
      <c r="E21" s="423">
        <f>-C18*E19+12000</f>
        <v>16000</v>
      </c>
      <c r="F21" s="252"/>
      <c r="G21" s="253"/>
    </row>
  </sheetData>
  <sheetProtection algorithmName="SHA-512" hashValue="sXJwdhgUWsmExDfPSEukCsrgvRvfTGvkcWR1kdDAoKfr2aV2+nAHi0vbGnO8Nra/JQY3eS4ALvDLhQ09Zna3Jw==" saltValue="SbwhPQaAOZ3nTVWKI3tQ6g==" spinCount="100000" sheet="1" objects="1" scenarios="1"/>
  <mergeCells count="5">
    <mergeCell ref="C18:C19"/>
    <mergeCell ref="D18:D19"/>
    <mergeCell ref="F18:F19"/>
    <mergeCell ref="G18:G19"/>
    <mergeCell ref="C1:G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K61"/>
  <sheetViews>
    <sheetView topLeftCell="A46" workbookViewId="0">
      <selection activeCell="K49" sqref="K49"/>
    </sheetView>
  </sheetViews>
  <sheetFormatPr baseColWidth="10" defaultColWidth="11.44140625" defaultRowHeight="13.8" x14ac:dyDescent="0.25"/>
  <cols>
    <col min="1" max="1" width="13.5546875" style="218" customWidth="1"/>
    <col min="2" max="2" width="11.44140625" style="218"/>
    <col min="3" max="3" width="22.44140625" style="218" customWidth="1"/>
    <col min="4" max="4" width="13" style="218" customWidth="1"/>
    <col min="5" max="5" width="11.5546875" style="218" bestFit="1" customWidth="1"/>
    <col min="6" max="6" width="13.109375" style="218" customWidth="1"/>
    <col min="7" max="9" width="11.5546875" style="218" bestFit="1" customWidth="1"/>
    <col min="10" max="10" width="11.44140625" style="218"/>
    <col min="11" max="11" width="11.5546875" style="218" bestFit="1" customWidth="1"/>
    <col min="12" max="19" width="11.44140625" style="218"/>
    <col min="20" max="20" width="4.44140625" style="218" customWidth="1"/>
    <col min="21" max="22" width="11.44140625" style="218"/>
    <col min="23" max="23" width="5.44140625" style="218" customWidth="1"/>
    <col min="24" max="16384" width="11.44140625" style="218"/>
  </cols>
  <sheetData>
    <row r="1" spans="2:11" ht="19.95" customHeight="1" x14ac:dyDescent="0.25">
      <c r="C1" s="602" t="s">
        <v>458</v>
      </c>
      <c r="D1" s="602"/>
      <c r="E1" s="602"/>
      <c r="F1" s="602"/>
      <c r="G1" s="602"/>
      <c r="H1" s="602"/>
      <c r="I1" s="602"/>
      <c r="J1" s="602"/>
      <c r="K1" s="602"/>
    </row>
    <row r="2" spans="2:11" x14ac:dyDescent="0.25">
      <c r="C2" s="222"/>
    </row>
    <row r="3" spans="2:11" x14ac:dyDescent="0.25">
      <c r="C3" s="479" t="s">
        <v>171</v>
      </c>
      <c r="D3" s="480"/>
      <c r="E3" s="480"/>
      <c r="F3" s="480"/>
      <c r="G3" s="480"/>
      <c r="H3" s="480"/>
      <c r="I3" s="481"/>
    </row>
    <row r="4" spans="2:11" x14ac:dyDescent="0.25">
      <c r="C4" s="482"/>
      <c r="D4" s="478" t="s">
        <v>34</v>
      </c>
      <c r="E4" s="478" t="s">
        <v>39</v>
      </c>
      <c r="F4" s="478" t="s">
        <v>40</v>
      </c>
      <c r="G4" s="478" t="s">
        <v>41</v>
      </c>
      <c r="H4" s="478" t="s">
        <v>42</v>
      </c>
      <c r="I4" s="478" t="s">
        <v>43</v>
      </c>
    </row>
    <row r="5" spans="2:11" ht="12.75" customHeight="1" x14ac:dyDescent="0.25">
      <c r="C5" s="474" t="s">
        <v>15</v>
      </c>
      <c r="D5" s="475"/>
      <c r="E5" s="474" t="s">
        <v>67</v>
      </c>
      <c r="F5" s="474" t="s">
        <v>67</v>
      </c>
      <c r="G5" s="474" t="s">
        <v>67</v>
      </c>
      <c r="H5" s="474" t="s">
        <v>67</v>
      </c>
      <c r="I5" s="474" t="s">
        <v>67</v>
      </c>
    </row>
    <row r="6" spans="2:11" ht="14.25" customHeight="1" x14ac:dyDescent="0.25">
      <c r="C6" s="474" t="s">
        <v>68</v>
      </c>
      <c r="D6" s="475"/>
      <c r="E6" s="475">
        <v>-302070</v>
      </c>
      <c r="F6" s="475">
        <v>-302070</v>
      </c>
      <c r="G6" s="475">
        <v>-302070</v>
      </c>
      <c r="H6" s="475">
        <v>-302070</v>
      </c>
      <c r="I6" s="475">
        <v>-302070</v>
      </c>
    </row>
    <row r="7" spans="2:11" x14ac:dyDescent="0.25">
      <c r="C7" s="474" t="s">
        <v>69</v>
      </c>
      <c r="D7" s="475"/>
      <c r="E7" s="475">
        <v>-136902</v>
      </c>
      <c r="F7" s="475">
        <v>-136902</v>
      </c>
      <c r="G7" s="475">
        <v>-136902</v>
      </c>
      <c r="H7" s="475">
        <v>-136902</v>
      </c>
      <c r="I7" s="475">
        <v>-136902</v>
      </c>
    </row>
    <row r="8" spans="2:11" x14ac:dyDescent="0.25">
      <c r="C8" s="474" t="s">
        <v>70</v>
      </c>
      <c r="D8" s="475"/>
      <c r="E8" s="474" t="s">
        <v>67</v>
      </c>
      <c r="F8" s="474" t="s">
        <v>67</v>
      </c>
      <c r="G8" s="474" t="s">
        <v>67</v>
      </c>
      <c r="H8" s="474" t="s">
        <v>67</v>
      </c>
      <c r="I8" s="474" t="s">
        <v>67</v>
      </c>
    </row>
    <row r="9" spans="2:11" x14ac:dyDescent="0.25">
      <c r="C9" s="474" t="s">
        <v>53</v>
      </c>
      <c r="D9" s="475"/>
      <c r="E9" s="474" t="s">
        <v>67</v>
      </c>
      <c r="F9" s="474" t="s">
        <v>67</v>
      </c>
      <c r="G9" s="474" t="s">
        <v>67</v>
      </c>
      <c r="H9" s="474" t="s">
        <v>67</v>
      </c>
      <c r="I9" s="474" t="s">
        <v>67</v>
      </c>
    </row>
    <row r="10" spans="2:11" x14ac:dyDescent="0.25">
      <c r="C10" s="474" t="s">
        <v>71</v>
      </c>
      <c r="D10" s="475"/>
      <c r="E10" s="474" t="s">
        <v>67</v>
      </c>
      <c r="F10" s="474" t="s">
        <v>67</v>
      </c>
      <c r="G10" s="474" t="s">
        <v>67</v>
      </c>
      <c r="H10" s="474" t="s">
        <v>67</v>
      </c>
      <c r="I10" s="474" t="s">
        <v>67</v>
      </c>
    </row>
    <row r="13" spans="2:11" x14ac:dyDescent="0.25">
      <c r="B13" s="476" t="s">
        <v>105</v>
      </c>
      <c r="C13" s="218" t="s">
        <v>413</v>
      </c>
    </row>
    <row r="14" spans="2:11" x14ac:dyDescent="0.25">
      <c r="B14" s="476"/>
    </row>
    <row r="15" spans="2:11" x14ac:dyDescent="0.25">
      <c r="C15" s="249" t="s">
        <v>76</v>
      </c>
      <c r="D15" s="30">
        <v>500000</v>
      </c>
      <c r="E15" s="408"/>
      <c r="F15" s="408"/>
      <c r="G15" s="408"/>
      <c r="H15" s="408"/>
      <c r="I15" s="426"/>
    </row>
    <row r="16" spans="2:11" ht="5.4" customHeight="1" x14ac:dyDescent="0.25">
      <c r="C16" s="223"/>
      <c r="D16" s="225"/>
      <c r="E16" s="225"/>
      <c r="F16" s="225"/>
      <c r="G16" s="225"/>
      <c r="H16" s="225"/>
      <c r="I16" s="226"/>
    </row>
    <row r="17" spans="3:11" x14ac:dyDescent="0.25">
      <c r="C17" s="242"/>
      <c r="D17" s="234" t="s">
        <v>34</v>
      </c>
      <c r="E17" s="234" t="s">
        <v>39</v>
      </c>
      <c r="F17" s="234" t="s">
        <v>40</v>
      </c>
      <c r="G17" s="234" t="s">
        <v>41</v>
      </c>
      <c r="H17" s="234" t="s">
        <v>42</v>
      </c>
      <c r="I17" s="235" t="s">
        <v>43</v>
      </c>
    </row>
    <row r="18" spans="3:11" x14ac:dyDescent="0.25">
      <c r="C18" s="223"/>
      <c r="D18" s="225">
        <v>-684512</v>
      </c>
      <c r="E18" s="225">
        <f>+$D$15</f>
        <v>500000</v>
      </c>
      <c r="F18" s="225">
        <f>+$D$15</f>
        <v>500000</v>
      </c>
      <c r="G18" s="225">
        <f>+$D$15</f>
        <v>500000</v>
      </c>
      <c r="H18" s="225">
        <f>+$D$15</f>
        <v>500000</v>
      </c>
      <c r="I18" s="226">
        <f>+$D$15</f>
        <v>500000</v>
      </c>
    </row>
    <row r="19" spans="3:11" ht="6.6" customHeight="1" x14ac:dyDescent="0.25">
      <c r="C19" s="223"/>
      <c r="D19" s="225"/>
      <c r="E19" s="225"/>
      <c r="F19" s="225"/>
      <c r="G19" s="225"/>
      <c r="H19" s="225"/>
      <c r="I19" s="226"/>
    </row>
    <row r="20" spans="3:11" x14ac:dyDescent="0.25">
      <c r="C20" s="485" t="s">
        <v>33</v>
      </c>
      <c r="D20" s="298">
        <f>IRR(D18:I18)</f>
        <v>0.6750559901549722</v>
      </c>
      <c r="E20" s="397"/>
      <c r="F20" s="397"/>
      <c r="G20" s="397"/>
      <c r="H20" s="397"/>
      <c r="I20" s="486"/>
    </row>
    <row r="22" spans="3:11" x14ac:dyDescent="0.25">
      <c r="C22" s="249" t="s">
        <v>76</v>
      </c>
      <c r="D22" s="30">
        <v>193194.14</v>
      </c>
      <c r="E22" s="408"/>
      <c r="F22" s="408"/>
      <c r="G22" s="408"/>
      <c r="H22" s="408"/>
      <c r="I22" s="426"/>
    </row>
    <row r="23" spans="3:11" ht="3.6" customHeight="1" x14ac:dyDescent="0.25">
      <c r="C23" s="223"/>
      <c r="D23" s="225"/>
      <c r="E23" s="225"/>
      <c r="F23" s="225"/>
      <c r="G23" s="225"/>
      <c r="H23" s="225"/>
      <c r="I23" s="226"/>
    </row>
    <row r="24" spans="3:11" x14ac:dyDescent="0.25">
      <c r="C24" s="242"/>
      <c r="D24" s="234" t="s">
        <v>34</v>
      </c>
      <c r="E24" s="234" t="s">
        <v>39</v>
      </c>
      <c r="F24" s="234" t="s">
        <v>40</v>
      </c>
      <c r="G24" s="234" t="s">
        <v>41</v>
      </c>
      <c r="H24" s="234" t="s">
        <v>42</v>
      </c>
      <c r="I24" s="235" t="s">
        <v>43</v>
      </c>
    </row>
    <row r="25" spans="3:11" x14ac:dyDescent="0.25">
      <c r="C25" s="223"/>
      <c r="D25" s="225">
        <v>-684512</v>
      </c>
      <c r="E25" s="13">
        <f>+$D$22</f>
        <v>193194.14</v>
      </c>
      <c r="F25" s="13">
        <f t="shared" ref="F25:I25" si="0">+$D$22</f>
        <v>193194.14</v>
      </c>
      <c r="G25" s="13">
        <f t="shared" si="0"/>
        <v>193194.14</v>
      </c>
      <c r="H25" s="13">
        <f t="shared" si="0"/>
        <v>193194.14</v>
      </c>
      <c r="I25" s="20">
        <f t="shared" si="0"/>
        <v>193194.14</v>
      </c>
    </row>
    <row r="26" spans="3:11" ht="3.6" customHeight="1" x14ac:dyDescent="0.25">
      <c r="C26" s="223"/>
      <c r="D26" s="225"/>
      <c r="E26" s="225"/>
      <c r="F26" s="225"/>
      <c r="G26" s="225"/>
      <c r="H26" s="225"/>
      <c r="I26" s="226"/>
    </row>
    <row r="27" spans="3:11" x14ac:dyDescent="0.25">
      <c r="C27" s="485" t="s">
        <v>33</v>
      </c>
      <c r="D27" s="298">
        <f>IRR(D25:I25)</f>
        <v>0.12700000435924208</v>
      </c>
      <c r="E27" s="397"/>
      <c r="F27" s="397"/>
      <c r="G27" s="397"/>
      <c r="H27" s="397"/>
      <c r="I27" s="486"/>
    </row>
    <row r="28" spans="3:11" x14ac:dyDescent="0.25">
      <c r="C28" s="323"/>
      <c r="D28" s="477"/>
    </row>
    <row r="30" spans="3:11" x14ac:dyDescent="0.25">
      <c r="C30" s="487" t="s">
        <v>414</v>
      </c>
      <c r="D30" s="344"/>
      <c r="E30" s="410"/>
      <c r="F30" s="410"/>
      <c r="G30" s="410"/>
      <c r="H30" s="344"/>
      <c r="I30" s="344"/>
      <c r="J30" s="344"/>
      <c r="K30" s="427"/>
    </row>
    <row r="31" spans="3:11" x14ac:dyDescent="0.25">
      <c r="C31" s="388"/>
      <c r="D31" s="349"/>
      <c r="E31" s="385"/>
      <c r="F31" s="385"/>
      <c r="G31" s="385"/>
      <c r="H31" s="385"/>
      <c r="I31" s="385"/>
      <c r="J31" s="385"/>
      <c r="K31" s="413"/>
    </row>
    <row r="32" spans="3:11" x14ac:dyDescent="0.25">
      <c r="C32" s="388" t="s">
        <v>72</v>
      </c>
      <c r="D32" s="349" t="s">
        <v>24</v>
      </c>
      <c r="E32" s="385">
        <f>+E25</f>
        <v>193194.14</v>
      </c>
      <c r="F32" s="385"/>
      <c r="G32" s="385"/>
      <c r="H32" s="385"/>
      <c r="I32" s="385"/>
      <c r="J32" s="385"/>
      <c r="K32" s="413"/>
    </row>
    <row r="33" spans="2:11" x14ac:dyDescent="0.25">
      <c r="C33" s="388"/>
      <c r="D33" s="349"/>
      <c r="E33" s="385"/>
      <c r="F33" s="385"/>
      <c r="G33" s="385"/>
      <c r="H33" s="385"/>
      <c r="I33" s="385"/>
      <c r="J33" s="385"/>
      <c r="K33" s="413"/>
    </row>
    <row r="34" spans="2:11" x14ac:dyDescent="0.25">
      <c r="C34" s="388" t="s">
        <v>73</v>
      </c>
      <c r="D34" s="349" t="s">
        <v>24</v>
      </c>
      <c r="E34" s="385">
        <f>+E32+E7</f>
        <v>56292.140000000014</v>
      </c>
      <c r="F34" s="385"/>
      <c r="G34" s="385"/>
      <c r="H34" s="385"/>
      <c r="I34" s="385"/>
      <c r="J34" s="385"/>
      <c r="K34" s="413"/>
    </row>
    <row r="35" spans="2:11" x14ac:dyDescent="0.25">
      <c r="C35" s="388"/>
      <c r="D35" s="349"/>
      <c r="E35" s="385"/>
      <c r="F35" s="385"/>
      <c r="G35" s="385"/>
      <c r="H35" s="385"/>
      <c r="I35" s="385"/>
      <c r="J35" s="385"/>
      <c r="K35" s="413"/>
    </row>
    <row r="36" spans="2:11" x14ac:dyDescent="0.25">
      <c r="C36" s="388" t="s">
        <v>74</v>
      </c>
      <c r="D36" s="349" t="s">
        <v>24</v>
      </c>
      <c r="E36" s="354">
        <f>+E34</f>
        <v>56292.140000000014</v>
      </c>
      <c r="F36" s="349" t="s">
        <v>24</v>
      </c>
      <c r="G36" s="385">
        <f>+E36/+(1-0.3)</f>
        <v>80417.342857142881</v>
      </c>
      <c r="H36" s="385"/>
      <c r="I36" s="385"/>
      <c r="J36" s="385"/>
      <c r="K36" s="413"/>
    </row>
    <row r="37" spans="2:11" x14ac:dyDescent="0.25">
      <c r="C37" s="388"/>
      <c r="D37" s="385"/>
      <c r="E37" s="488" t="s">
        <v>399</v>
      </c>
      <c r="F37" s="385"/>
      <c r="G37" s="385"/>
      <c r="H37" s="385"/>
      <c r="I37" s="385"/>
      <c r="J37" s="385"/>
      <c r="K37" s="413"/>
    </row>
    <row r="38" spans="2:11" x14ac:dyDescent="0.25">
      <c r="C38" s="388"/>
      <c r="D38" s="385"/>
      <c r="E38" s="488"/>
      <c r="F38" s="385"/>
      <c r="G38" s="385"/>
      <c r="H38" s="385"/>
      <c r="I38" s="385"/>
      <c r="J38" s="385"/>
      <c r="K38" s="413"/>
    </row>
    <row r="39" spans="2:11" x14ac:dyDescent="0.25">
      <c r="C39" s="420"/>
      <c r="D39" s="252"/>
      <c r="E39" s="489" t="s">
        <v>32</v>
      </c>
      <c r="F39" s="354" t="s">
        <v>35</v>
      </c>
      <c r="G39" s="252">
        <f>-E6</f>
        <v>302070</v>
      </c>
      <c r="H39" s="354" t="s">
        <v>35</v>
      </c>
      <c r="I39" s="252">
        <f>-E7</f>
        <v>136902</v>
      </c>
      <c r="J39" s="354" t="s">
        <v>24</v>
      </c>
      <c r="K39" s="253">
        <f>+G36</f>
        <v>80417.342857142881</v>
      </c>
    </row>
    <row r="40" spans="2:11" ht="7.2" customHeight="1" x14ac:dyDescent="0.25">
      <c r="E40" s="324"/>
    </row>
    <row r="41" spans="2:11" ht="7.2" customHeight="1" x14ac:dyDescent="0.25"/>
    <row r="42" spans="2:11" x14ac:dyDescent="0.25">
      <c r="C42" s="490" t="s">
        <v>15</v>
      </c>
      <c r="D42" s="409" t="s">
        <v>24</v>
      </c>
      <c r="E42" s="491">
        <f>+G36-E7-E6</f>
        <v>519389.34285714291</v>
      </c>
    </row>
    <row r="44" spans="2:11" x14ac:dyDescent="0.25">
      <c r="C44" s="13"/>
      <c r="D44" s="13"/>
      <c r="E44" s="398"/>
      <c r="F44" s="13"/>
      <c r="G44" s="13"/>
      <c r="H44" s="225"/>
    </row>
    <row r="45" spans="2:11" ht="12.75" customHeight="1" x14ac:dyDescent="0.25">
      <c r="B45" s="476" t="s">
        <v>106</v>
      </c>
      <c r="C45" s="13" t="s">
        <v>483</v>
      </c>
      <c r="D45" s="13"/>
      <c r="E45" s="13"/>
      <c r="F45" s="13"/>
      <c r="G45" s="13"/>
      <c r="H45" s="13"/>
    </row>
    <row r="46" spans="2:11" ht="12.75" customHeight="1" x14ac:dyDescent="0.25">
      <c r="B46" s="476"/>
      <c r="C46" s="77"/>
      <c r="D46" s="442"/>
      <c r="E46" s="492"/>
      <c r="F46" s="442"/>
      <c r="G46" s="442"/>
      <c r="H46" s="443"/>
    </row>
    <row r="47" spans="2:11" ht="12.75" customHeight="1" x14ac:dyDescent="0.25">
      <c r="B47" s="476"/>
      <c r="C47" s="79"/>
      <c r="D47" s="177"/>
      <c r="E47" s="566">
        <v>5</v>
      </c>
      <c r="F47" s="177"/>
      <c r="G47" s="177"/>
      <c r="H47" s="178"/>
    </row>
    <row r="48" spans="2:11" ht="14.25" customHeight="1" x14ac:dyDescent="0.25">
      <c r="C48" s="631">
        <v>-684512</v>
      </c>
      <c r="D48" s="623" t="s">
        <v>37</v>
      </c>
      <c r="E48" s="623" t="s">
        <v>25</v>
      </c>
      <c r="F48" s="452" t="s">
        <v>21</v>
      </c>
      <c r="G48" s="623" t="s">
        <v>24</v>
      </c>
      <c r="H48" s="630">
        <v>0</v>
      </c>
    </row>
    <row r="49" spans="3:8" ht="15.6" x14ac:dyDescent="0.25">
      <c r="C49" s="631"/>
      <c r="D49" s="623"/>
      <c r="E49" s="623"/>
      <c r="F49" s="449" t="s">
        <v>457</v>
      </c>
      <c r="G49" s="623"/>
      <c r="H49" s="630"/>
    </row>
    <row r="50" spans="3:8" x14ac:dyDescent="0.25">
      <c r="C50" s="79"/>
      <c r="D50" s="177"/>
      <c r="E50" s="449" t="s">
        <v>29</v>
      </c>
      <c r="F50" s="177"/>
      <c r="G50" s="177"/>
      <c r="H50" s="178"/>
    </row>
    <row r="51" spans="3:8" x14ac:dyDescent="0.25">
      <c r="C51" s="79"/>
      <c r="D51" s="177"/>
      <c r="E51" s="449"/>
      <c r="F51" s="177"/>
      <c r="G51" s="177"/>
      <c r="H51" s="178"/>
    </row>
    <row r="52" spans="3:8" x14ac:dyDescent="0.25">
      <c r="C52" s="388"/>
      <c r="D52" s="568" t="s">
        <v>482</v>
      </c>
      <c r="E52" s="385"/>
      <c r="F52" s="385"/>
      <c r="G52" s="385"/>
      <c r="H52" s="413"/>
    </row>
    <row r="53" spans="3:8" x14ac:dyDescent="0.25">
      <c r="C53" s="493" t="s">
        <v>34</v>
      </c>
      <c r="D53" s="385"/>
      <c r="E53" s="385"/>
      <c r="F53" s="385"/>
      <c r="G53" s="385"/>
      <c r="H53" s="413"/>
    </row>
    <row r="54" spans="3:8" x14ac:dyDescent="0.25">
      <c r="C54" s="493" t="s">
        <v>39</v>
      </c>
      <c r="D54" s="494">
        <f>1/(1+12.7%)^1</f>
        <v>0.88731144631765746</v>
      </c>
      <c r="E54" s="385"/>
      <c r="F54" s="385"/>
      <c r="G54" s="385"/>
      <c r="H54" s="413"/>
    </row>
    <row r="55" spans="3:8" x14ac:dyDescent="0.25">
      <c r="C55" s="493" t="s">
        <v>40</v>
      </c>
      <c r="D55" s="494">
        <f>1/(1+12.7%)^2</f>
        <v>0.78732160276633312</v>
      </c>
      <c r="E55" s="385"/>
      <c r="F55" s="385"/>
      <c r="G55" s="385"/>
      <c r="H55" s="413"/>
    </row>
    <row r="56" spans="3:8" x14ac:dyDescent="0.25">
      <c r="C56" s="493" t="s">
        <v>41</v>
      </c>
      <c r="D56" s="494">
        <f>1/(1+12.7%)^3</f>
        <v>0.69859947006773127</v>
      </c>
      <c r="E56" s="385"/>
      <c r="F56" s="385"/>
      <c r="G56" s="385"/>
      <c r="H56" s="413"/>
    </row>
    <row r="57" spans="3:8" x14ac:dyDescent="0.25">
      <c r="C57" s="493" t="s">
        <v>42</v>
      </c>
      <c r="D57" s="494">
        <f>1/(1+12.7%)^4</f>
        <v>0.61987530618254771</v>
      </c>
      <c r="E57" s="385"/>
      <c r="F57" s="385"/>
      <c r="G57" s="385"/>
      <c r="H57" s="413"/>
    </row>
    <row r="58" spans="3:8" x14ac:dyDescent="0.25">
      <c r="C58" s="493" t="s">
        <v>43</v>
      </c>
      <c r="D58" s="494">
        <f>1/(1+12.7%)^5</f>
        <v>0.55002245446543718</v>
      </c>
      <c r="E58" s="385"/>
      <c r="F58" s="385"/>
      <c r="G58" s="385"/>
      <c r="H58" s="413"/>
    </row>
    <row r="59" spans="3:8" x14ac:dyDescent="0.25">
      <c r="C59" s="388"/>
      <c r="D59" s="494">
        <f>SUM(D54:D58)</f>
        <v>3.5431302797997066</v>
      </c>
      <c r="E59" s="385"/>
      <c r="F59" s="385"/>
      <c r="G59" s="385"/>
      <c r="H59" s="413"/>
    </row>
    <row r="60" spans="3:8" x14ac:dyDescent="0.25">
      <c r="C60" s="567" t="s">
        <v>481</v>
      </c>
      <c r="D60" s="392">
        <f>-C48/D59</f>
        <v>193194.13793576212</v>
      </c>
      <c r="E60" s="385"/>
      <c r="F60" s="385"/>
      <c r="G60" s="385"/>
      <c r="H60" s="413"/>
    </row>
    <row r="61" spans="3:8" x14ac:dyDescent="0.25">
      <c r="C61" s="420"/>
      <c r="D61" s="252"/>
      <c r="E61" s="252"/>
      <c r="F61" s="252"/>
      <c r="G61" s="252"/>
      <c r="H61" s="253"/>
    </row>
  </sheetData>
  <sheetProtection algorithmName="SHA-512" hashValue="akTq45g9PgPR13O6YsvuNWfPhnWwxytZHNBkeyoABzKxvl4W1e92T1B5Lsz/ITudd7Cww0OxKQoEHrvrZgm++w==" saltValue="srVidXpwQUoEJnbkg6HOKA==" spinCount="100000" sheet="1" objects="1" scenarios="1"/>
  <mergeCells count="6">
    <mergeCell ref="C1:K1"/>
    <mergeCell ref="C48:C49"/>
    <mergeCell ref="D48:D49"/>
    <mergeCell ref="E48:E49"/>
    <mergeCell ref="G48:G49"/>
    <mergeCell ref="H48:H49"/>
  </mergeCells>
  <phoneticPr fontId="3" type="noConversion"/>
  <pageMargins left="0.7" right="0.7" top="0.75" bottom="0.75" header="0.3" footer="0.3"/>
  <pageSetup paperSize="9" orientation="portrait" horizontalDpi="360" verticalDpi="36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C1:L40"/>
  <sheetViews>
    <sheetView topLeftCell="A25" zoomScaleNormal="100" workbookViewId="0">
      <selection activeCell="E29" sqref="E29:I29"/>
    </sheetView>
  </sheetViews>
  <sheetFormatPr baseColWidth="10" defaultRowHeight="13.8" x14ac:dyDescent="0.25"/>
  <cols>
    <col min="1" max="1" width="16" style="6" customWidth="1"/>
    <col min="2" max="2" width="11.44140625" style="6"/>
    <col min="3" max="3" width="28.88671875" style="6" customWidth="1"/>
    <col min="4" max="5" width="12.33203125" style="6" bestFit="1" customWidth="1"/>
    <col min="6" max="11" width="11.44140625" style="6"/>
    <col min="12" max="12" width="11.88671875" style="6" customWidth="1"/>
    <col min="13" max="13" width="11.44140625" style="6" customWidth="1"/>
    <col min="14" max="14" width="3.109375" style="6" customWidth="1"/>
    <col min="15" max="258" width="11.44140625" style="6"/>
    <col min="259" max="259" width="28.88671875" style="6" customWidth="1"/>
    <col min="260" max="261" width="12.33203125" style="6" bestFit="1" customWidth="1"/>
    <col min="262" max="267" width="11.44140625" style="6"/>
    <col min="268" max="268" width="15.33203125" style="6" customWidth="1"/>
    <col min="269" max="514" width="11.44140625" style="6"/>
    <col min="515" max="515" width="28.88671875" style="6" customWidth="1"/>
    <col min="516" max="517" width="12.33203125" style="6" bestFit="1" customWidth="1"/>
    <col min="518" max="523" width="11.44140625" style="6"/>
    <col min="524" max="524" width="15.33203125" style="6" customWidth="1"/>
    <col min="525" max="770" width="11.44140625" style="6"/>
    <col min="771" max="771" width="28.88671875" style="6" customWidth="1"/>
    <col min="772" max="773" width="12.33203125" style="6" bestFit="1" customWidth="1"/>
    <col min="774" max="779" width="11.44140625" style="6"/>
    <col min="780" max="780" width="15.33203125" style="6" customWidth="1"/>
    <col min="781" max="1026" width="11.44140625" style="6"/>
    <col min="1027" max="1027" width="28.88671875" style="6" customWidth="1"/>
    <col min="1028" max="1029" width="12.33203125" style="6" bestFit="1" customWidth="1"/>
    <col min="1030" max="1035" width="11.44140625" style="6"/>
    <col min="1036" max="1036" width="15.33203125" style="6" customWidth="1"/>
    <col min="1037" max="1282" width="11.44140625" style="6"/>
    <col min="1283" max="1283" width="28.88671875" style="6" customWidth="1"/>
    <col min="1284" max="1285" width="12.33203125" style="6" bestFit="1" customWidth="1"/>
    <col min="1286" max="1291" width="11.44140625" style="6"/>
    <col min="1292" max="1292" width="15.33203125" style="6" customWidth="1"/>
    <col min="1293" max="1538" width="11.44140625" style="6"/>
    <col min="1539" max="1539" width="28.88671875" style="6" customWidth="1"/>
    <col min="1540" max="1541" width="12.33203125" style="6" bestFit="1" customWidth="1"/>
    <col min="1542" max="1547" width="11.44140625" style="6"/>
    <col min="1548" max="1548" width="15.33203125" style="6" customWidth="1"/>
    <col min="1549" max="1794" width="11.44140625" style="6"/>
    <col min="1795" max="1795" width="28.88671875" style="6" customWidth="1"/>
    <col min="1796" max="1797" width="12.33203125" style="6" bestFit="1" customWidth="1"/>
    <col min="1798" max="1803" width="11.44140625" style="6"/>
    <col min="1804" max="1804" width="15.33203125" style="6" customWidth="1"/>
    <col min="1805" max="2050" width="11.44140625" style="6"/>
    <col min="2051" max="2051" width="28.88671875" style="6" customWidth="1"/>
    <col min="2052" max="2053" width="12.33203125" style="6" bestFit="1" customWidth="1"/>
    <col min="2054" max="2059" width="11.44140625" style="6"/>
    <col min="2060" max="2060" width="15.33203125" style="6" customWidth="1"/>
    <col min="2061" max="2306" width="11.44140625" style="6"/>
    <col min="2307" max="2307" width="28.88671875" style="6" customWidth="1"/>
    <col min="2308" max="2309" width="12.33203125" style="6" bestFit="1" customWidth="1"/>
    <col min="2310" max="2315" width="11.44140625" style="6"/>
    <col min="2316" max="2316" width="15.33203125" style="6" customWidth="1"/>
    <col min="2317" max="2562" width="11.44140625" style="6"/>
    <col min="2563" max="2563" width="28.88671875" style="6" customWidth="1"/>
    <col min="2564" max="2565" width="12.33203125" style="6" bestFit="1" customWidth="1"/>
    <col min="2566" max="2571" width="11.44140625" style="6"/>
    <col min="2572" max="2572" width="15.33203125" style="6" customWidth="1"/>
    <col min="2573" max="2818" width="11.44140625" style="6"/>
    <col min="2819" max="2819" width="28.88671875" style="6" customWidth="1"/>
    <col min="2820" max="2821" width="12.33203125" style="6" bestFit="1" customWidth="1"/>
    <col min="2822" max="2827" width="11.44140625" style="6"/>
    <col min="2828" max="2828" width="15.33203125" style="6" customWidth="1"/>
    <col min="2829" max="3074" width="11.44140625" style="6"/>
    <col min="3075" max="3075" width="28.88671875" style="6" customWidth="1"/>
    <col min="3076" max="3077" width="12.33203125" style="6" bestFit="1" customWidth="1"/>
    <col min="3078" max="3083" width="11.44140625" style="6"/>
    <col min="3084" max="3084" width="15.33203125" style="6" customWidth="1"/>
    <col min="3085" max="3330" width="11.44140625" style="6"/>
    <col min="3331" max="3331" width="28.88671875" style="6" customWidth="1"/>
    <col min="3332" max="3333" width="12.33203125" style="6" bestFit="1" customWidth="1"/>
    <col min="3334" max="3339" width="11.44140625" style="6"/>
    <col min="3340" max="3340" width="15.33203125" style="6" customWidth="1"/>
    <col min="3341" max="3586" width="11.44140625" style="6"/>
    <col min="3587" max="3587" width="28.88671875" style="6" customWidth="1"/>
    <col min="3588" max="3589" width="12.33203125" style="6" bestFit="1" customWidth="1"/>
    <col min="3590" max="3595" width="11.44140625" style="6"/>
    <col min="3596" max="3596" width="15.33203125" style="6" customWidth="1"/>
    <col min="3597" max="3842" width="11.44140625" style="6"/>
    <col min="3843" max="3843" width="28.88671875" style="6" customWidth="1"/>
    <col min="3844" max="3845" width="12.33203125" style="6" bestFit="1" customWidth="1"/>
    <col min="3846" max="3851" width="11.44140625" style="6"/>
    <col min="3852" max="3852" width="15.33203125" style="6" customWidth="1"/>
    <col min="3853" max="4098" width="11.44140625" style="6"/>
    <col min="4099" max="4099" width="28.88671875" style="6" customWidth="1"/>
    <col min="4100" max="4101" width="12.33203125" style="6" bestFit="1" customWidth="1"/>
    <col min="4102" max="4107" width="11.44140625" style="6"/>
    <col min="4108" max="4108" width="15.33203125" style="6" customWidth="1"/>
    <col min="4109" max="4354" width="11.44140625" style="6"/>
    <col min="4355" max="4355" width="28.88671875" style="6" customWidth="1"/>
    <col min="4356" max="4357" width="12.33203125" style="6" bestFit="1" customWidth="1"/>
    <col min="4358" max="4363" width="11.44140625" style="6"/>
    <col min="4364" max="4364" width="15.33203125" style="6" customWidth="1"/>
    <col min="4365" max="4610" width="11.44140625" style="6"/>
    <col min="4611" max="4611" width="28.88671875" style="6" customWidth="1"/>
    <col min="4612" max="4613" width="12.33203125" style="6" bestFit="1" customWidth="1"/>
    <col min="4614" max="4619" width="11.44140625" style="6"/>
    <col min="4620" max="4620" width="15.33203125" style="6" customWidth="1"/>
    <col min="4621" max="4866" width="11.44140625" style="6"/>
    <col min="4867" max="4867" width="28.88671875" style="6" customWidth="1"/>
    <col min="4868" max="4869" width="12.33203125" style="6" bestFit="1" customWidth="1"/>
    <col min="4870" max="4875" width="11.44140625" style="6"/>
    <col min="4876" max="4876" width="15.33203125" style="6" customWidth="1"/>
    <col min="4877" max="5122" width="11.44140625" style="6"/>
    <col min="5123" max="5123" width="28.88671875" style="6" customWidth="1"/>
    <col min="5124" max="5125" width="12.33203125" style="6" bestFit="1" customWidth="1"/>
    <col min="5126" max="5131" width="11.44140625" style="6"/>
    <col min="5132" max="5132" width="15.33203125" style="6" customWidth="1"/>
    <col min="5133" max="5378" width="11.44140625" style="6"/>
    <col min="5379" max="5379" width="28.88671875" style="6" customWidth="1"/>
    <col min="5380" max="5381" width="12.33203125" style="6" bestFit="1" customWidth="1"/>
    <col min="5382" max="5387" width="11.44140625" style="6"/>
    <col min="5388" max="5388" width="15.33203125" style="6" customWidth="1"/>
    <col min="5389" max="5634" width="11.44140625" style="6"/>
    <col min="5635" max="5635" width="28.88671875" style="6" customWidth="1"/>
    <col min="5636" max="5637" width="12.33203125" style="6" bestFit="1" customWidth="1"/>
    <col min="5638" max="5643" width="11.44140625" style="6"/>
    <col min="5644" max="5644" width="15.33203125" style="6" customWidth="1"/>
    <col min="5645" max="5890" width="11.44140625" style="6"/>
    <col min="5891" max="5891" width="28.88671875" style="6" customWidth="1"/>
    <col min="5892" max="5893" width="12.33203125" style="6" bestFit="1" customWidth="1"/>
    <col min="5894" max="5899" width="11.44140625" style="6"/>
    <col min="5900" max="5900" width="15.33203125" style="6" customWidth="1"/>
    <col min="5901" max="6146" width="11.44140625" style="6"/>
    <col min="6147" max="6147" width="28.88671875" style="6" customWidth="1"/>
    <col min="6148" max="6149" width="12.33203125" style="6" bestFit="1" customWidth="1"/>
    <col min="6150" max="6155" width="11.44140625" style="6"/>
    <col min="6156" max="6156" width="15.33203125" style="6" customWidth="1"/>
    <col min="6157" max="6402" width="11.44140625" style="6"/>
    <col min="6403" max="6403" width="28.88671875" style="6" customWidth="1"/>
    <col min="6404" max="6405" width="12.33203125" style="6" bestFit="1" customWidth="1"/>
    <col min="6406" max="6411" width="11.44140625" style="6"/>
    <col min="6412" max="6412" width="15.33203125" style="6" customWidth="1"/>
    <col min="6413" max="6658" width="11.44140625" style="6"/>
    <col min="6659" max="6659" width="28.88671875" style="6" customWidth="1"/>
    <col min="6660" max="6661" width="12.33203125" style="6" bestFit="1" customWidth="1"/>
    <col min="6662" max="6667" width="11.44140625" style="6"/>
    <col min="6668" max="6668" width="15.33203125" style="6" customWidth="1"/>
    <col min="6669" max="6914" width="11.44140625" style="6"/>
    <col min="6915" max="6915" width="28.88671875" style="6" customWidth="1"/>
    <col min="6916" max="6917" width="12.33203125" style="6" bestFit="1" customWidth="1"/>
    <col min="6918" max="6923" width="11.44140625" style="6"/>
    <col min="6924" max="6924" width="15.33203125" style="6" customWidth="1"/>
    <col min="6925" max="7170" width="11.44140625" style="6"/>
    <col min="7171" max="7171" width="28.88671875" style="6" customWidth="1"/>
    <col min="7172" max="7173" width="12.33203125" style="6" bestFit="1" customWidth="1"/>
    <col min="7174" max="7179" width="11.44140625" style="6"/>
    <col min="7180" max="7180" width="15.33203125" style="6" customWidth="1"/>
    <col min="7181" max="7426" width="11.44140625" style="6"/>
    <col min="7427" max="7427" width="28.88671875" style="6" customWidth="1"/>
    <col min="7428" max="7429" width="12.33203125" style="6" bestFit="1" customWidth="1"/>
    <col min="7430" max="7435" width="11.44140625" style="6"/>
    <col min="7436" max="7436" width="15.33203125" style="6" customWidth="1"/>
    <col min="7437" max="7682" width="11.44140625" style="6"/>
    <col min="7683" max="7683" width="28.88671875" style="6" customWidth="1"/>
    <col min="7684" max="7685" width="12.33203125" style="6" bestFit="1" customWidth="1"/>
    <col min="7686" max="7691" width="11.44140625" style="6"/>
    <col min="7692" max="7692" width="15.33203125" style="6" customWidth="1"/>
    <col min="7693" max="7938" width="11.44140625" style="6"/>
    <col min="7939" max="7939" width="28.88671875" style="6" customWidth="1"/>
    <col min="7940" max="7941" width="12.33203125" style="6" bestFit="1" customWidth="1"/>
    <col min="7942" max="7947" width="11.44140625" style="6"/>
    <col min="7948" max="7948" width="15.33203125" style="6" customWidth="1"/>
    <col min="7949" max="8194" width="11.44140625" style="6"/>
    <col min="8195" max="8195" width="28.88671875" style="6" customWidth="1"/>
    <col min="8196" max="8197" width="12.33203125" style="6" bestFit="1" customWidth="1"/>
    <col min="8198" max="8203" width="11.44140625" style="6"/>
    <col min="8204" max="8204" width="15.33203125" style="6" customWidth="1"/>
    <col min="8205" max="8450" width="11.44140625" style="6"/>
    <col min="8451" max="8451" width="28.88671875" style="6" customWidth="1"/>
    <col min="8452" max="8453" width="12.33203125" style="6" bestFit="1" customWidth="1"/>
    <col min="8454" max="8459" width="11.44140625" style="6"/>
    <col min="8460" max="8460" width="15.33203125" style="6" customWidth="1"/>
    <col min="8461" max="8706" width="11.44140625" style="6"/>
    <col min="8707" max="8707" width="28.88671875" style="6" customWidth="1"/>
    <col min="8708" max="8709" width="12.33203125" style="6" bestFit="1" customWidth="1"/>
    <col min="8710" max="8715" width="11.44140625" style="6"/>
    <col min="8716" max="8716" width="15.33203125" style="6" customWidth="1"/>
    <col min="8717" max="8962" width="11.44140625" style="6"/>
    <col min="8963" max="8963" width="28.88671875" style="6" customWidth="1"/>
    <col min="8964" max="8965" width="12.33203125" style="6" bestFit="1" customWidth="1"/>
    <col min="8966" max="8971" width="11.44140625" style="6"/>
    <col min="8972" max="8972" width="15.33203125" style="6" customWidth="1"/>
    <col min="8973" max="9218" width="11.44140625" style="6"/>
    <col min="9219" max="9219" width="28.88671875" style="6" customWidth="1"/>
    <col min="9220" max="9221" width="12.33203125" style="6" bestFit="1" customWidth="1"/>
    <col min="9222" max="9227" width="11.44140625" style="6"/>
    <col min="9228" max="9228" width="15.33203125" style="6" customWidth="1"/>
    <col min="9229" max="9474" width="11.44140625" style="6"/>
    <col min="9475" max="9475" width="28.88671875" style="6" customWidth="1"/>
    <col min="9476" max="9477" width="12.33203125" style="6" bestFit="1" customWidth="1"/>
    <col min="9478" max="9483" width="11.44140625" style="6"/>
    <col min="9484" max="9484" width="15.33203125" style="6" customWidth="1"/>
    <col min="9485" max="9730" width="11.44140625" style="6"/>
    <col min="9731" max="9731" width="28.88671875" style="6" customWidth="1"/>
    <col min="9732" max="9733" width="12.33203125" style="6" bestFit="1" customWidth="1"/>
    <col min="9734" max="9739" width="11.44140625" style="6"/>
    <col min="9740" max="9740" width="15.33203125" style="6" customWidth="1"/>
    <col min="9741" max="9986" width="11.44140625" style="6"/>
    <col min="9987" max="9987" width="28.88671875" style="6" customWidth="1"/>
    <col min="9988" max="9989" width="12.33203125" style="6" bestFit="1" customWidth="1"/>
    <col min="9990" max="9995" width="11.44140625" style="6"/>
    <col min="9996" max="9996" width="15.33203125" style="6" customWidth="1"/>
    <col min="9997" max="10242" width="11.44140625" style="6"/>
    <col min="10243" max="10243" width="28.88671875" style="6" customWidth="1"/>
    <col min="10244" max="10245" width="12.33203125" style="6" bestFit="1" customWidth="1"/>
    <col min="10246" max="10251" width="11.44140625" style="6"/>
    <col min="10252" max="10252" width="15.33203125" style="6" customWidth="1"/>
    <col min="10253" max="10498" width="11.44140625" style="6"/>
    <col min="10499" max="10499" width="28.88671875" style="6" customWidth="1"/>
    <col min="10500" max="10501" width="12.33203125" style="6" bestFit="1" customWidth="1"/>
    <col min="10502" max="10507" width="11.44140625" style="6"/>
    <col min="10508" max="10508" width="15.33203125" style="6" customWidth="1"/>
    <col min="10509" max="10754" width="11.44140625" style="6"/>
    <col min="10755" max="10755" width="28.88671875" style="6" customWidth="1"/>
    <col min="10756" max="10757" width="12.33203125" style="6" bestFit="1" customWidth="1"/>
    <col min="10758" max="10763" width="11.44140625" style="6"/>
    <col min="10764" max="10764" width="15.33203125" style="6" customWidth="1"/>
    <col min="10765" max="11010" width="11.44140625" style="6"/>
    <col min="11011" max="11011" width="28.88671875" style="6" customWidth="1"/>
    <col min="11012" max="11013" width="12.33203125" style="6" bestFit="1" customWidth="1"/>
    <col min="11014" max="11019" width="11.44140625" style="6"/>
    <col min="11020" max="11020" width="15.33203125" style="6" customWidth="1"/>
    <col min="11021" max="11266" width="11.44140625" style="6"/>
    <col min="11267" max="11267" width="28.88671875" style="6" customWidth="1"/>
    <col min="11268" max="11269" width="12.33203125" style="6" bestFit="1" customWidth="1"/>
    <col min="11270" max="11275" width="11.44140625" style="6"/>
    <col min="11276" max="11276" width="15.33203125" style="6" customWidth="1"/>
    <col min="11277" max="11522" width="11.44140625" style="6"/>
    <col min="11523" max="11523" width="28.88671875" style="6" customWidth="1"/>
    <col min="11524" max="11525" width="12.33203125" style="6" bestFit="1" customWidth="1"/>
    <col min="11526" max="11531" width="11.44140625" style="6"/>
    <col min="11532" max="11532" width="15.33203125" style="6" customWidth="1"/>
    <col min="11533" max="11778" width="11.44140625" style="6"/>
    <col min="11779" max="11779" width="28.88671875" style="6" customWidth="1"/>
    <col min="11780" max="11781" width="12.33203125" style="6" bestFit="1" customWidth="1"/>
    <col min="11782" max="11787" width="11.44140625" style="6"/>
    <col min="11788" max="11788" width="15.33203125" style="6" customWidth="1"/>
    <col min="11789" max="12034" width="11.44140625" style="6"/>
    <col min="12035" max="12035" width="28.88671875" style="6" customWidth="1"/>
    <col min="12036" max="12037" width="12.33203125" style="6" bestFit="1" customWidth="1"/>
    <col min="12038" max="12043" width="11.44140625" style="6"/>
    <col min="12044" max="12044" width="15.33203125" style="6" customWidth="1"/>
    <col min="12045" max="12290" width="11.44140625" style="6"/>
    <col min="12291" max="12291" width="28.88671875" style="6" customWidth="1"/>
    <col min="12292" max="12293" width="12.33203125" style="6" bestFit="1" customWidth="1"/>
    <col min="12294" max="12299" width="11.44140625" style="6"/>
    <col min="12300" max="12300" width="15.33203125" style="6" customWidth="1"/>
    <col min="12301" max="12546" width="11.44140625" style="6"/>
    <col min="12547" max="12547" width="28.88671875" style="6" customWidth="1"/>
    <col min="12548" max="12549" width="12.33203125" style="6" bestFit="1" customWidth="1"/>
    <col min="12550" max="12555" width="11.44140625" style="6"/>
    <col min="12556" max="12556" width="15.33203125" style="6" customWidth="1"/>
    <col min="12557" max="12802" width="11.44140625" style="6"/>
    <col min="12803" max="12803" width="28.88671875" style="6" customWidth="1"/>
    <col min="12804" max="12805" width="12.33203125" style="6" bestFit="1" customWidth="1"/>
    <col min="12806" max="12811" width="11.44140625" style="6"/>
    <col min="12812" max="12812" width="15.33203125" style="6" customWidth="1"/>
    <col min="12813" max="13058" width="11.44140625" style="6"/>
    <col min="13059" max="13059" width="28.88671875" style="6" customWidth="1"/>
    <col min="13060" max="13061" width="12.33203125" style="6" bestFit="1" customWidth="1"/>
    <col min="13062" max="13067" width="11.44140625" style="6"/>
    <col min="13068" max="13068" width="15.33203125" style="6" customWidth="1"/>
    <col min="13069" max="13314" width="11.44140625" style="6"/>
    <col min="13315" max="13315" width="28.88671875" style="6" customWidth="1"/>
    <col min="13316" max="13317" width="12.33203125" style="6" bestFit="1" customWidth="1"/>
    <col min="13318" max="13323" width="11.44140625" style="6"/>
    <col min="13324" max="13324" width="15.33203125" style="6" customWidth="1"/>
    <col min="13325" max="13570" width="11.44140625" style="6"/>
    <col min="13571" max="13571" width="28.88671875" style="6" customWidth="1"/>
    <col min="13572" max="13573" width="12.33203125" style="6" bestFit="1" customWidth="1"/>
    <col min="13574" max="13579" width="11.44140625" style="6"/>
    <col min="13580" max="13580" width="15.33203125" style="6" customWidth="1"/>
    <col min="13581" max="13826" width="11.44140625" style="6"/>
    <col min="13827" max="13827" width="28.88671875" style="6" customWidth="1"/>
    <col min="13828" max="13829" width="12.33203125" style="6" bestFit="1" customWidth="1"/>
    <col min="13830" max="13835" width="11.44140625" style="6"/>
    <col min="13836" max="13836" width="15.33203125" style="6" customWidth="1"/>
    <col min="13837" max="14082" width="11.44140625" style="6"/>
    <col min="14083" max="14083" width="28.88671875" style="6" customWidth="1"/>
    <col min="14084" max="14085" width="12.33203125" style="6" bestFit="1" customWidth="1"/>
    <col min="14086" max="14091" width="11.44140625" style="6"/>
    <col min="14092" max="14092" width="15.33203125" style="6" customWidth="1"/>
    <col min="14093" max="14338" width="11.44140625" style="6"/>
    <col min="14339" max="14339" width="28.88671875" style="6" customWidth="1"/>
    <col min="14340" max="14341" width="12.33203125" style="6" bestFit="1" customWidth="1"/>
    <col min="14342" max="14347" width="11.44140625" style="6"/>
    <col min="14348" max="14348" width="15.33203125" style="6" customWidth="1"/>
    <col min="14349" max="14594" width="11.44140625" style="6"/>
    <col min="14595" max="14595" width="28.88671875" style="6" customWidth="1"/>
    <col min="14596" max="14597" width="12.33203125" style="6" bestFit="1" customWidth="1"/>
    <col min="14598" max="14603" width="11.44140625" style="6"/>
    <col min="14604" max="14604" width="15.33203125" style="6" customWidth="1"/>
    <col min="14605" max="14850" width="11.44140625" style="6"/>
    <col min="14851" max="14851" width="28.88671875" style="6" customWidth="1"/>
    <col min="14852" max="14853" width="12.33203125" style="6" bestFit="1" customWidth="1"/>
    <col min="14854" max="14859" width="11.44140625" style="6"/>
    <col min="14860" max="14860" width="15.33203125" style="6" customWidth="1"/>
    <col min="14861" max="15106" width="11.44140625" style="6"/>
    <col min="15107" max="15107" width="28.88671875" style="6" customWidth="1"/>
    <col min="15108" max="15109" width="12.33203125" style="6" bestFit="1" customWidth="1"/>
    <col min="15110" max="15115" width="11.44140625" style="6"/>
    <col min="15116" max="15116" width="15.33203125" style="6" customWidth="1"/>
    <col min="15117" max="15362" width="11.44140625" style="6"/>
    <col min="15363" max="15363" width="28.88671875" style="6" customWidth="1"/>
    <col min="15364" max="15365" width="12.33203125" style="6" bestFit="1" customWidth="1"/>
    <col min="15366" max="15371" width="11.44140625" style="6"/>
    <col min="15372" max="15372" width="15.33203125" style="6" customWidth="1"/>
    <col min="15373" max="15618" width="11.44140625" style="6"/>
    <col min="15619" max="15619" width="28.88671875" style="6" customWidth="1"/>
    <col min="15620" max="15621" width="12.33203125" style="6" bestFit="1" customWidth="1"/>
    <col min="15622" max="15627" width="11.44140625" style="6"/>
    <col min="15628" max="15628" width="15.33203125" style="6" customWidth="1"/>
    <col min="15629" max="15874" width="11.44140625" style="6"/>
    <col min="15875" max="15875" width="28.88671875" style="6" customWidth="1"/>
    <col min="15876" max="15877" width="12.33203125" style="6" bestFit="1" customWidth="1"/>
    <col min="15878" max="15883" width="11.44140625" style="6"/>
    <col min="15884" max="15884" width="15.33203125" style="6" customWidth="1"/>
    <col min="15885" max="16130" width="11.44140625" style="6"/>
    <col min="16131" max="16131" width="28.88671875" style="6" customWidth="1"/>
    <col min="16132" max="16133" width="12.33203125" style="6" bestFit="1" customWidth="1"/>
    <col min="16134" max="16139" width="11.44140625" style="6"/>
    <col min="16140" max="16140" width="15.33203125" style="6" customWidth="1"/>
    <col min="16141" max="16384" width="11.44140625" style="6"/>
  </cols>
  <sheetData>
    <row r="1" spans="3:12" ht="19.95" customHeight="1" x14ac:dyDescent="0.25">
      <c r="C1" s="632" t="s">
        <v>456</v>
      </c>
      <c r="D1" s="632"/>
      <c r="E1" s="632"/>
      <c r="F1" s="632"/>
      <c r="G1" s="632"/>
      <c r="H1" s="632"/>
      <c r="I1" s="632"/>
      <c r="J1" s="632"/>
      <c r="K1" s="632"/>
      <c r="L1" s="632"/>
    </row>
    <row r="3" spans="3:12" x14ac:dyDescent="0.25">
      <c r="C3" s="125" t="s">
        <v>79</v>
      </c>
      <c r="D3" s="127">
        <v>100000</v>
      </c>
    </row>
    <row r="5" spans="3:12" x14ac:dyDescent="0.25">
      <c r="C5" s="27" t="s">
        <v>171</v>
      </c>
      <c r="D5" s="28" t="s">
        <v>34</v>
      </c>
      <c r="E5" s="28" t="s">
        <v>39</v>
      </c>
      <c r="F5" s="28" t="s">
        <v>40</v>
      </c>
      <c r="G5" s="28" t="s">
        <v>41</v>
      </c>
      <c r="H5" s="28" t="s">
        <v>42</v>
      </c>
      <c r="I5" s="28" t="s">
        <v>43</v>
      </c>
      <c r="J5" s="28" t="s">
        <v>44</v>
      </c>
      <c r="K5" s="28" t="s">
        <v>45</v>
      </c>
      <c r="L5" s="29" t="s">
        <v>46</v>
      </c>
    </row>
    <row r="6" spans="3:12" x14ac:dyDescent="0.25">
      <c r="C6" s="19" t="s">
        <v>80</v>
      </c>
      <c r="D6" s="13"/>
      <c r="E6" s="13">
        <v>10000</v>
      </c>
      <c r="F6" s="13">
        <v>10000</v>
      </c>
      <c r="G6" s="13">
        <v>10000</v>
      </c>
      <c r="H6" s="13">
        <v>10000</v>
      </c>
      <c r="I6" s="13">
        <v>10000</v>
      </c>
      <c r="J6" s="13">
        <v>10000</v>
      </c>
      <c r="K6" s="13">
        <v>10000</v>
      </c>
      <c r="L6" s="20">
        <v>10000</v>
      </c>
    </row>
    <row r="7" spans="3:12" x14ac:dyDescent="0.25">
      <c r="C7" s="19" t="s">
        <v>81</v>
      </c>
      <c r="D7" s="13">
        <f>40000-30000</f>
        <v>10000</v>
      </c>
      <c r="E7" s="13"/>
      <c r="F7" s="13"/>
      <c r="G7" s="13"/>
      <c r="H7" s="13"/>
      <c r="I7" s="13"/>
      <c r="J7" s="13"/>
      <c r="K7" s="13"/>
      <c r="L7" s="20">
        <v>5000</v>
      </c>
    </row>
    <row r="8" spans="3:12" x14ac:dyDescent="0.25">
      <c r="C8" s="19" t="s">
        <v>82</v>
      </c>
      <c r="D8" s="13"/>
      <c r="E8" s="13">
        <f>40000*10%</f>
        <v>4000</v>
      </c>
      <c r="F8" s="13">
        <f t="shared" ref="F8:I8" si="0">40000*10%</f>
        <v>4000</v>
      </c>
      <c r="G8" s="13">
        <f t="shared" si="0"/>
        <v>4000</v>
      </c>
      <c r="H8" s="13">
        <f t="shared" si="0"/>
        <v>4000</v>
      </c>
      <c r="I8" s="13">
        <f t="shared" si="0"/>
        <v>4000</v>
      </c>
      <c r="J8" s="13"/>
      <c r="K8" s="13"/>
      <c r="L8" s="20"/>
    </row>
    <row r="9" spans="3:12" x14ac:dyDescent="0.25">
      <c r="C9" s="19" t="s">
        <v>83</v>
      </c>
      <c r="D9" s="13"/>
      <c r="E9" s="13">
        <f>-$D$3*20%</f>
        <v>-20000</v>
      </c>
      <c r="F9" s="13">
        <f t="shared" ref="F9:I9" si="1">-$D$3*20%</f>
        <v>-20000</v>
      </c>
      <c r="G9" s="13">
        <f t="shared" si="1"/>
        <v>-20000</v>
      </c>
      <c r="H9" s="13">
        <f t="shared" si="1"/>
        <v>-20000</v>
      </c>
      <c r="I9" s="13">
        <f t="shared" si="1"/>
        <v>-20000</v>
      </c>
      <c r="J9" s="13"/>
      <c r="K9" s="13"/>
      <c r="L9" s="20"/>
    </row>
    <row r="10" spans="3:12" x14ac:dyDescent="0.25">
      <c r="C10" s="19" t="s">
        <v>53</v>
      </c>
      <c r="D10" s="13">
        <f>-SUM(D6:D9)*30%</f>
        <v>-3000</v>
      </c>
      <c r="E10" s="13">
        <f t="shared" ref="E10:L10" si="2">-SUM(E6:E9)*30%</f>
        <v>1800</v>
      </c>
      <c r="F10" s="13">
        <f t="shared" si="2"/>
        <v>1800</v>
      </c>
      <c r="G10" s="13">
        <f t="shared" si="2"/>
        <v>1800</v>
      </c>
      <c r="H10" s="13">
        <f t="shared" si="2"/>
        <v>1800</v>
      </c>
      <c r="I10" s="13">
        <f t="shared" si="2"/>
        <v>1800</v>
      </c>
      <c r="J10" s="13">
        <f t="shared" si="2"/>
        <v>-3000</v>
      </c>
      <c r="K10" s="13">
        <f t="shared" si="2"/>
        <v>-3000</v>
      </c>
      <c r="L10" s="20">
        <f t="shared" si="2"/>
        <v>-4500</v>
      </c>
    </row>
    <row r="11" spans="3:12" x14ac:dyDescent="0.25">
      <c r="C11" s="31" t="s">
        <v>28</v>
      </c>
      <c r="D11" s="32">
        <f>SUM(D6:D10)</f>
        <v>7000</v>
      </c>
      <c r="E11" s="32">
        <f t="shared" ref="E11:L11" si="3">SUM(E6:E10)</f>
        <v>-4200</v>
      </c>
      <c r="F11" s="32">
        <f t="shared" si="3"/>
        <v>-4200</v>
      </c>
      <c r="G11" s="32">
        <f t="shared" si="3"/>
        <v>-4200</v>
      </c>
      <c r="H11" s="32">
        <f t="shared" si="3"/>
        <v>-4200</v>
      </c>
      <c r="I11" s="32">
        <f t="shared" si="3"/>
        <v>-4200</v>
      </c>
      <c r="J11" s="32">
        <f t="shared" si="3"/>
        <v>7000</v>
      </c>
      <c r="K11" s="32">
        <f t="shared" si="3"/>
        <v>7000</v>
      </c>
      <c r="L11" s="33">
        <f t="shared" si="3"/>
        <v>10500</v>
      </c>
    </row>
    <row r="13" spans="3:12" x14ac:dyDescent="0.25">
      <c r="C13" s="27" t="s">
        <v>176</v>
      </c>
      <c r="D13" s="28" t="s">
        <v>34</v>
      </c>
      <c r="E13" s="28" t="s">
        <v>39</v>
      </c>
      <c r="F13" s="28" t="s">
        <v>40</v>
      </c>
      <c r="G13" s="28" t="s">
        <v>41</v>
      </c>
      <c r="H13" s="28" t="s">
        <v>42</v>
      </c>
      <c r="I13" s="28" t="s">
        <v>43</v>
      </c>
      <c r="J13" s="28" t="s">
        <v>44</v>
      </c>
      <c r="K13" s="28" t="s">
        <v>45</v>
      </c>
      <c r="L13" s="29" t="s">
        <v>46</v>
      </c>
    </row>
    <row r="14" spans="3:12" x14ac:dyDescent="0.25">
      <c r="C14" s="19" t="s">
        <v>54</v>
      </c>
      <c r="D14" s="13">
        <f>+D11</f>
        <v>7000</v>
      </c>
      <c r="E14" s="13">
        <f t="shared" ref="E14:L14" si="4">+E11</f>
        <v>-4200</v>
      </c>
      <c r="F14" s="13">
        <f t="shared" si="4"/>
        <v>-4200</v>
      </c>
      <c r="G14" s="13">
        <f t="shared" si="4"/>
        <v>-4200</v>
      </c>
      <c r="H14" s="13">
        <f t="shared" si="4"/>
        <v>-4200</v>
      </c>
      <c r="I14" s="13">
        <f t="shared" si="4"/>
        <v>-4200</v>
      </c>
      <c r="J14" s="13">
        <f t="shared" si="4"/>
        <v>7000</v>
      </c>
      <c r="K14" s="13">
        <f t="shared" si="4"/>
        <v>7000</v>
      </c>
      <c r="L14" s="20">
        <f t="shared" si="4"/>
        <v>10500</v>
      </c>
    </row>
    <row r="15" spans="3:12" x14ac:dyDescent="0.25">
      <c r="C15" s="19" t="s">
        <v>55</v>
      </c>
      <c r="D15" s="13"/>
      <c r="E15" s="13">
        <f>-(+E8+E9)</f>
        <v>16000</v>
      </c>
      <c r="F15" s="13">
        <f t="shared" ref="F15:L15" si="5">-(+F8+F9)</f>
        <v>16000</v>
      </c>
      <c r="G15" s="13">
        <f t="shared" si="5"/>
        <v>16000</v>
      </c>
      <c r="H15" s="13">
        <f t="shared" si="5"/>
        <v>16000</v>
      </c>
      <c r="I15" s="13">
        <f t="shared" si="5"/>
        <v>16000</v>
      </c>
      <c r="J15" s="13">
        <f t="shared" si="5"/>
        <v>0</v>
      </c>
      <c r="K15" s="13">
        <f t="shared" si="5"/>
        <v>0</v>
      </c>
      <c r="L15" s="20">
        <f t="shared" si="5"/>
        <v>0</v>
      </c>
    </row>
    <row r="16" spans="3:12" x14ac:dyDescent="0.25">
      <c r="C16" s="19" t="s">
        <v>84</v>
      </c>
      <c r="D16" s="13">
        <v>20000</v>
      </c>
      <c r="E16" s="13"/>
      <c r="F16" s="13"/>
      <c r="G16" s="13"/>
      <c r="H16" s="13"/>
      <c r="I16" s="13"/>
      <c r="J16" s="13"/>
      <c r="K16" s="13"/>
      <c r="L16" s="20"/>
    </row>
    <row r="17" spans="3:12" x14ac:dyDescent="0.25">
      <c r="C17" s="19" t="s">
        <v>19</v>
      </c>
      <c r="D17" s="13">
        <f>-D3</f>
        <v>-100000</v>
      </c>
      <c r="E17" s="13"/>
      <c r="F17" s="13"/>
      <c r="G17" s="13"/>
      <c r="H17" s="13"/>
      <c r="I17" s="13"/>
      <c r="J17" s="13"/>
      <c r="K17" s="13"/>
      <c r="L17" s="20"/>
    </row>
    <row r="18" spans="3:12" x14ac:dyDescent="0.25">
      <c r="C18" s="31" t="s">
        <v>85</v>
      </c>
      <c r="D18" s="32">
        <f>SUM(D14:D17)</f>
        <v>-73000</v>
      </c>
      <c r="E18" s="32">
        <f t="shared" ref="E18:L18" si="6">SUM(E14:E17)</f>
        <v>11800</v>
      </c>
      <c r="F18" s="32">
        <f t="shared" si="6"/>
        <v>11800</v>
      </c>
      <c r="G18" s="32">
        <f t="shared" si="6"/>
        <v>11800</v>
      </c>
      <c r="H18" s="32">
        <f t="shared" si="6"/>
        <v>11800</v>
      </c>
      <c r="I18" s="32">
        <f t="shared" si="6"/>
        <v>11800</v>
      </c>
      <c r="J18" s="32">
        <f t="shared" si="6"/>
        <v>7000</v>
      </c>
      <c r="K18" s="32">
        <f t="shared" si="6"/>
        <v>7000</v>
      </c>
      <c r="L18" s="33">
        <f t="shared" si="6"/>
        <v>10500</v>
      </c>
    </row>
    <row r="20" spans="3:12" x14ac:dyDescent="0.25">
      <c r="C20" s="73" t="s">
        <v>27</v>
      </c>
      <c r="D20" s="30">
        <f>+D18+NPV(8%,E18:L18)</f>
        <v>-11717.578120191189</v>
      </c>
    </row>
    <row r="23" spans="3:12" x14ac:dyDescent="0.25">
      <c r="C23" s="125" t="s">
        <v>79</v>
      </c>
      <c r="D23" s="127">
        <v>84591.002290956021</v>
      </c>
    </row>
    <row r="25" spans="3:12" x14ac:dyDescent="0.25">
      <c r="C25" s="27" t="s">
        <v>171</v>
      </c>
      <c r="D25" s="28" t="s">
        <v>34</v>
      </c>
      <c r="E25" s="28" t="s">
        <v>39</v>
      </c>
      <c r="F25" s="28" t="s">
        <v>40</v>
      </c>
      <c r="G25" s="28" t="s">
        <v>41</v>
      </c>
      <c r="H25" s="28" t="s">
        <v>42</v>
      </c>
      <c r="I25" s="28" t="s">
        <v>43</v>
      </c>
      <c r="J25" s="28" t="s">
        <v>44</v>
      </c>
      <c r="K25" s="28" t="s">
        <v>45</v>
      </c>
      <c r="L25" s="29" t="s">
        <v>46</v>
      </c>
    </row>
    <row r="26" spans="3:12" x14ac:dyDescent="0.25">
      <c r="C26" s="19" t="s">
        <v>80</v>
      </c>
      <c r="D26" s="13"/>
      <c r="E26" s="13">
        <v>10000</v>
      </c>
      <c r="F26" s="13">
        <v>10000</v>
      </c>
      <c r="G26" s="13">
        <v>10000</v>
      </c>
      <c r="H26" s="13">
        <v>10000</v>
      </c>
      <c r="I26" s="13">
        <v>10000</v>
      </c>
      <c r="J26" s="13">
        <v>10000</v>
      </c>
      <c r="K26" s="13">
        <v>10000</v>
      </c>
      <c r="L26" s="20">
        <v>10000</v>
      </c>
    </row>
    <row r="27" spans="3:12" x14ac:dyDescent="0.25">
      <c r="C27" s="19" t="s">
        <v>81</v>
      </c>
      <c r="D27" s="13">
        <f>40000-30000</f>
        <v>10000</v>
      </c>
      <c r="E27" s="13"/>
      <c r="F27" s="13"/>
      <c r="G27" s="13"/>
      <c r="H27" s="13"/>
      <c r="I27" s="13"/>
      <c r="J27" s="13"/>
      <c r="K27" s="13"/>
      <c r="L27" s="20">
        <v>5000</v>
      </c>
    </row>
    <row r="28" spans="3:12" x14ac:dyDescent="0.25">
      <c r="C28" s="19" t="s">
        <v>82</v>
      </c>
      <c r="D28" s="13"/>
      <c r="E28" s="13">
        <f>40000*10%</f>
        <v>4000</v>
      </c>
      <c r="F28" s="13">
        <f t="shared" ref="F28:I28" si="7">40000*10%</f>
        <v>4000</v>
      </c>
      <c r="G28" s="13">
        <f t="shared" si="7"/>
        <v>4000</v>
      </c>
      <c r="H28" s="13">
        <f t="shared" si="7"/>
        <v>4000</v>
      </c>
      <c r="I28" s="13">
        <f t="shared" si="7"/>
        <v>4000</v>
      </c>
      <c r="J28" s="13"/>
      <c r="K28" s="13"/>
      <c r="L28" s="20"/>
    </row>
    <row r="29" spans="3:12" x14ac:dyDescent="0.25">
      <c r="C29" s="19" t="s">
        <v>83</v>
      </c>
      <c r="D29" s="13"/>
      <c r="E29" s="13">
        <f>-$D$23*20%</f>
        <v>-16918.200458191204</v>
      </c>
      <c r="F29" s="13">
        <f t="shared" ref="F29:I29" si="8">-$D$23*20%</f>
        <v>-16918.200458191204</v>
      </c>
      <c r="G29" s="13">
        <f t="shared" si="8"/>
        <v>-16918.200458191204</v>
      </c>
      <c r="H29" s="13">
        <f t="shared" si="8"/>
        <v>-16918.200458191204</v>
      </c>
      <c r="I29" s="13">
        <f t="shared" si="8"/>
        <v>-16918.200458191204</v>
      </c>
      <c r="J29" s="13"/>
      <c r="K29" s="13"/>
      <c r="L29" s="20"/>
    </row>
    <row r="30" spans="3:12" x14ac:dyDescent="0.25">
      <c r="C30" s="19" t="s">
        <v>53</v>
      </c>
      <c r="D30" s="13">
        <f>-SUM(D26:D29)*30%</f>
        <v>-3000</v>
      </c>
      <c r="E30" s="13">
        <f t="shared" ref="E30:L30" si="9">-SUM(E26:E29)*30%</f>
        <v>875.46013745736127</v>
      </c>
      <c r="F30" s="13">
        <f t="shared" si="9"/>
        <v>875.46013745736127</v>
      </c>
      <c r="G30" s="13">
        <f t="shared" si="9"/>
        <v>875.46013745736127</v>
      </c>
      <c r="H30" s="13">
        <f t="shared" si="9"/>
        <v>875.46013745736127</v>
      </c>
      <c r="I30" s="13">
        <f t="shared" si="9"/>
        <v>875.46013745736127</v>
      </c>
      <c r="J30" s="13">
        <f t="shared" si="9"/>
        <v>-3000</v>
      </c>
      <c r="K30" s="13">
        <f t="shared" si="9"/>
        <v>-3000</v>
      </c>
      <c r="L30" s="20">
        <f t="shared" si="9"/>
        <v>-4500</v>
      </c>
    </row>
    <row r="31" spans="3:12" x14ac:dyDescent="0.25">
      <c r="C31" s="31" t="s">
        <v>28</v>
      </c>
      <c r="D31" s="32">
        <f>SUM(D26:D30)</f>
        <v>7000</v>
      </c>
      <c r="E31" s="32">
        <f t="shared" ref="E31:L31" si="10">SUM(E26:E30)</f>
        <v>-2042.740320733843</v>
      </c>
      <c r="F31" s="32">
        <f t="shared" si="10"/>
        <v>-2042.740320733843</v>
      </c>
      <c r="G31" s="32">
        <f t="shared" si="10"/>
        <v>-2042.740320733843</v>
      </c>
      <c r="H31" s="32">
        <f t="shared" si="10"/>
        <v>-2042.740320733843</v>
      </c>
      <c r="I31" s="32">
        <f t="shared" si="10"/>
        <v>-2042.740320733843</v>
      </c>
      <c r="J31" s="32">
        <f t="shared" si="10"/>
        <v>7000</v>
      </c>
      <c r="K31" s="32">
        <f t="shared" si="10"/>
        <v>7000</v>
      </c>
      <c r="L31" s="33">
        <f t="shared" si="10"/>
        <v>10500</v>
      </c>
    </row>
    <row r="33" spans="3:12" x14ac:dyDescent="0.25">
      <c r="C33" s="27" t="s">
        <v>176</v>
      </c>
      <c r="D33" s="28" t="s">
        <v>34</v>
      </c>
      <c r="E33" s="28" t="s">
        <v>39</v>
      </c>
      <c r="F33" s="28" t="s">
        <v>40</v>
      </c>
      <c r="G33" s="28" t="s">
        <v>41</v>
      </c>
      <c r="H33" s="28" t="s">
        <v>42</v>
      </c>
      <c r="I33" s="28" t="s">
        <v>43</v>
      </c>
      <c r="J33" s="28" t="s">
        <v>44</v>
      </c>
      <c r="K33" s="28" t="s">
        <v>45</v>
      </c>
      <c r="L33" s="29" t="s">
        <v>46</v>
      </c>
    </row>
    <row r="34" spans="3:12" x14ac:dyDescent="0.25">
      <c r="C34" s="19" t="s">
        <v>54</v>
      </c>
      <c r="D34" s="13">
        <f>+D31</f>
        <v>7000</v>
      </c>
      <c r="E34" s="13">
        <f t="shared" ref="E34:L34" si="11">+E31</f>
        <v>-2042.740320733843</v>
      </c>
      <c r="F34" s="13">
        <f t="shared" si="11"/>
        <v>-2042.740320733843</v>
      </c>
      <c r="G34" s="13">
        <f t="shared" si="11"/>
        <v>-2042.740320733843</v>
      </c>
      <c r="H34" s="13">
        <f t="shared" si="11"/>
        <v>-2042.740320733843</v>
      </c>
      <c r="I34" s="13">
        <f t="shared" si="11"/>
        <v>-2042.740320733843</v>
      </c>
      <c r="J34" s="13">
        <f t="shared" si="11"/>
        <v>7000</v>
      </c>
      <c r="K34" s="13">
        <f t="shared" si="11"/>
        <v>7000</v>
      </c>
      <c r="L34" s="20">
        <f t="shared" si="11"/>
        <v>10500</v>
      </c>
    </row>
    <row r="35" spans="3:12" x14ac:dyDescent="0.25">
      <c r="C35" s="19" t="s">
        <v>55</v>
      </c>
      <c r="D35" s="13"/>
      <c r="E35" s="13">
        <f>-(+E28+E29)</f>
        <v>12918.200458191204</v>
      </c>
      <c r="F35" s="13">
        <f t="shared" ref="F35:L35" si="12">-(+F28+F29)</f>
        <v>12918.200458191204</v>
      </c>
      <c r="G35" s="13">
        <f t="shared" si="12"/>
        <v>12918.200458191204</v>
      </c>
      <c r="H35" s="13">
        <f t="shared" si="12"/>
        <v>12918.200458191204</v>
      </c>
      <c r="I35" s="13">
        <f t="shared" si="12"/>
        <v>12918.200458191204</v>
      </c>
      <c r="J35" s="13">
        <f t="shared" si="12"/>
        <v>0</v>
      </c>
      <c r="K35" s="13">
        <f t="shared" si="12"/>
        <v>0</v>
      </c>
      <c r="L35" s="20">
        <f t="shared" si="12"/>
        <v>0</v>
      </c>
    </row>
    <row r="36" spans="3:12" x14ac:dyDescent="0.25">
      <c r="C36" s="19" t="s">
        <v>84</v>
      </c>
      <c r="D36" s="13">
        <v>20000</v>
      </c>
      <c r="E36" s="13"/>
      <c r="F36" s="13"/>
      <c r="G36" s="13"/>
      <c r="H36" s="13"/>
      <c r="I36" s="13"/>
      <c r="J36" s="13"/>
      <c r="K36" s="13"/>
      <c r="L36" s="20"/>
    </row>
    <row r="37" spans="3:12" x14ac:dyDescent="0.25">
      <c r="C37" s="19" t="s">
        <v>19</v>
      </c>
      <c r="D37" s="13">
        <f>-D23</f>
        <v>-84591.002290956021</v>
      </c>
      <c r="E37" s="13"/>
      <c r="F37" s="13"/>
      <c r="G37" s="13"/>
      <c r="H37" s="13"/>
      <c r="I37" s="13"/>
      <c r="J37" s="13"/>
      <c r="K37" s="13"/>
      <c r="L37" s="20"/>
    </row>
    <row r="38" spans="3:12" x14ac:dyDescent="0.25">
      <c r="C38" s="31" t="s">
        <v>85</v>
      </c>
      <c r="D38" s="32">
        <f>SUM(D34:D37)</f>
        <v>-57591.002290956021</v>
      </c>
      <c r="E38" s="32">
        <f t="shared" ref="E38:L38" si="13">SUM(E34:E37)</f>
        <v>10875.460137457361</v>
      </c>
      <c r="F38" s="32">
        <f t="shared" si="13"/>
        <v>10875.460137457361</v>
      </c>
      <c r="G38" s="32">
        <f t="shared" si="13"/>
        <v>10875.460137457361</v>
      </c>
      <c r="H38" s="32">
        <f t="shared" si="13"/>
        <v>10875.460137457361</v>
      </c>
      <c r="I38" s="32">
        <f t="shared" si="13"/>
        <v>10875.460137457361</v>
      </c>
      <c r="J38" s="32">
        <f t="shared" si="13"/>
        <v>7000</v>
      </c>
      <c r="K38" s="32">
        <f t="shared" si="13"/>
        <v>7000</v>
      </c>
      <c r="L38" s="33">
        <f t="shared" si="13"/>
        <v>10500</v>
      </c>
    </row>
    <row r="40" spans="3:12" x14ac:dyDescent="0.25">
      <c r="C40" s="73" t="s">
        <v>27</v>
      </c>
      <c r="D40" s="30">
        <f>+D38+NPV(8%,E38:L38)</f>
        <v>0</v>
      </c>
    </row>
  </sheetData>
  <sheetProtection algorithmName="SHA-512" hashValue="vaODzUNihNEFDMglx5VgwLAoqpS5vSJbKKQLbHRHyE9Y2cezi10K0VPfrULLvfj9h7QZBcnABX8h2ZlhPSgWdQ==" saltValue="9nyr/bTnfvLJvE2iae1SaQ==" spinCount="100000" sheet="1" objects="1" scenarios="1"/>
  <mergeCells count="1">
    <mergeCell ref="C1:L1"/>
  </mergeCells>
  <pageMargins left="0.7" right="0.7" top="0.75" bottom="0.75" header="0.3" footer="0.3"/>
  <pageSetup orientation="portrait" horizontalDpi="360" verticalDpi="36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AQ99"/>
  <sheetViews>
    <sheetView topLeftCell="A43" zoomScaleNormal="100" workbookViewId="0">
      <selection activeCell="A33" sqref="A33"/>
    </sheetView>
  </sheetViews>
  <sheetFormatPr baseColWidth="10" defaultColWidth="13.5546875" defaultRowHeight="13.8" x14ac:dyDescent="0.25"/>
  <cols>
    <col min="1" max="1" width="24.6640625" style="6" customWidth="1"/>
    <col min="2" max="2" width="5" style="6" customWidth="1"/>
    <col min="3" max="3" width="13.33203125" style="6" bestFit="1" customWidth="1"/>
    <col min="4" max="4" width="11.88671875" style="6" bestFit="1" customWidth="1"/>
    <col min="5" max="5" width="1.88671875" style="6" customWidth="1"/>
    <col min="6" max="6" width="12.33203125" style="6" bestFit="1" customWidth="1"/>
    <col min="7" max="7" width="2" style="6" customWidth="1"/>
    <col min="8" max="8" width="12.6640625" style="6" customWidth="1"/>
    <col min="9" max="9" width="9.109375" style="6" customWidth="1"/>
    <col min="10" max="10" width="9.33203125" style="6" customWidth="1"/>
    <col min="11" max="11" width="12.6640625" style="6" customWidth="1"/>
    <col min="12" max="12" width="14.33203125" style="6" customWidth="1"/>
    <col min="13" max="13" width="19.6640625" style="6" bestFit="1" customWidth="1"/>
    <col min="14" max="14" width="14.33203125" style="6" bestFit="1" customWidth="1"/>
    <col min="15" max="15" width="11.109375" style="6" bestFit="1" customWidth="1"/>
    <col min="16" max="16" width="12.6640625" style="6" customWidth="1"/>
    <col min="17" max="17" width="10.33203125" style="6" customWidth="1"/>
    <col min="18" max="18" width="17.88671875" style="6" customWidth="1"/>
    <col min="19" max="19" width="9.44140625" style="6" customWidth="1"/>
    <col min="20" max="20" width="7" style="6" bestFit="1" customWidth="1"/>
    <col min="21" max="21" width="2.109375" style="6" bestFit="1" customWidth="1"/>
    <col min="22" max="22" width="5" style="6" bestFit="1" customWidth="1"/>
    <col min="23" max="23" width="2" style="6" bestFit="1" customWidth="1"/>
    <col min="24" max="24" width="7.33203125" style="6" customWidth="1"/>
    <col min="25" max="25" width="5" style="6" customWidth="1"/>
    <col min="26" max="26" width="13.5546875" style="6"/>
    <col min="27" max="27" width="20" style="6" customWidth="1"/>
    <col min="28" max="28" width="14" style="6" bestFit="1" customWidth="1"/>
    <col min="29" max="29" width="9.6640625" style="6" customWidth="1"/>
    <col min="30" max="31" width="13.5546875" style="6"/>
    <col min="32" max="32" width="18" style="6" customWidth="1"/>
    <col min="33" max="33" width="15.6640625" style="6" customWidth="1"/>
    <col min="34" max="34" width="2.33203125" style="6" customWidth="1"/>
    <col min="35" max="35" width="4.88671875" style="6" bestFit="1" customWidth="1"/>
    <col min="36" max="36" width="11.6640625" style="6" bestFit="1" customWidth="1"/>
    <col min="37" max="37" width="7.109375" style="6" bestFit="1" customWidth="1"/>
    <col min="38" max="38" width="2.109375" style="6" bestFit="1" customWidth="1"/>
    <col min="39" max="39" width="10.88671875" style="6" bestFit="1" customWidth="1"/>
    <col min="40" max="40" width="2.109375" style="6" bestFit="1" customWidth="1"/>
    <col min="41" max="41" width="10.88671875" style="6" bestFit="1" customWidth="1"/>
    <col min="42" max="42" width="2.109375" style="6" bestFit="1" customWidth="1"/>
    <col min="43" max="43" width="6.5546875" style="6" bestFit="1" customWidth="1"/>
    <col min="44" max="259" width="13.5546875" style="6"/>
    <col min="260" max="260" width="5" style="6" customWidth="1"/>
    <col min="261" max="261" width="13" style="6" bestFit="1" customWidth="1"/>
    <col min="262" max="262" width="11.6640625" style="6" bestFit="1" customWidth="1"/>
    <col min="263" max="263" width="13.5546875" style="6" customWidth="1"/>
    <col min="264" max="264" width="12.109375" style="6" bestFit="1" customWidth="1"/>
    <col min="265" max="265" width="11.33203125" style="6" customWidth="1"/>
    <col min="266" max="266" width="8.109375" style="6" customWidth="1"/>
    <col min="267" max="267" width="9.109375" style="6" customWidth="1"/>
    <col min="268" max="268" width="7" style="6" customWidth="1"/>
    <col min="269" max="269" width="13.6640625" style="6" customWidth="1"/>
    <col min="270" max="270" width="11.6640625" style="6" bestFit="1" customWidth="1"/>
    <col min="271" max="271" width="13.5546875" style="6"/>
    <col min="272" max="272" width="15.109375" style="6" bestFit="1" customWidth="1"/>
    <col min="273" max="273" width="18.33203125" style="6" bestFit="1" customWidth="1"/>
    <col min="274" max="515" width="13.5546875" style="6"/>
    <col min="516" max="516" width="5" style="6" customWidth="1"/>
    <col min="517" max="517" width="13" style="6" bestFit="1" customWidth="1"/>
    <col min="518" max="518" width="11.6640625" style="6" bestFit="1" customWidth="1"/>
    <col min="519" max="519" width="13.5546875" style="6" customWidth="1"/>
    <col min="520" max="520" width="12.109375" style="6" bestFit="1" customWidth="1"/>
    <col min="521" max="521" width="11.33203125" style="6" customWidth="1"/>
    <col min="522" max="522" width="8.109375" style="6" customWidth="1"/>
    <col min="523" max="523" width="9.109375" style="6" customWidth="1"/>
    <col min="524" max="524" width="7" style="6" customWidth="1"/>
    <col min="525" max="525" width="13.6640625" style="6" customWidth="1"/>
    <col min="526" max="526" width="11.6640625" style="6" bestFit="1" customWidth="1"/>
    <col min="527" max="527" width="13.5546875" style="6"/>
    <col min="528" max="528" width="15.109375" style="6" bestFit="1" customWidth="1"/>
    <col min="529" max="529" width="18.33203125" style="6" bestFit="1" customWidth="1"/>
    <col min="530" max="771" width="13.5546875" style="6"/>
    <col min="772" max="772" width="5" style="6" customWidth="1"/>
    <col min="773" max="773" width="13" style="6" bestFit="1" customWidth="1"/>
    <col min="774" max="774" width="11.6640625" style="6" bestFit="1" customWidth="1"/>
    <col min="775" max="775" width="13.5546875" style="6" customWidth="1"/>
    <col min="776" max="776" width="12.109375" style="6" bestFit="1" customWidth="1"/>
    <col min="777" max="777" width="11.33203125" style="6" customWidth="1"/>
    <col min="778" max="778" width="8.109375" style="6" customWidth="1"/>
    <col min="779" max="779" width="9.109375" style="6" customWidth="1"/>
    <col min="780" max="780" width="7" style="6" customWidth="1"/>
    <col min="781" max="781" width="13.6640625" style="6" customWidth="1"/>
    <col min="782" max="782" width="11.6640625" style="6" bestFit="1" customWidth="1"/>
    <col min="783" max="783" width="13.5546875" style="6"/>
    <col min="784" max="784" width="15.109375" style="6" bestFit="1" customWidth="1"/>
    <col min="785" max="785" width="18.33203125" style="6" bestFit="1" customWidth="1"/>
    <col min="786" max="1027" width="13.5546875" style="6"/>
    <col min="1028" max="1028" width="5" style="6" customWidth="1"/>
    <col min="1029" max="1029" width="13" style="6" bestFit="1" customWidth="1"/>
    <col min="1030" max="1030" width="11.6640625" style="6" bestFit="1" customWidth="1"/>
    <col min="1031" max="1031" width="13.5546875" style="6" customWidth="1"/>
    <col min="1032" max="1032" width="12.109375" style="6" bestFit="1" customWidth="1"/>
    <col min="1033" max="1033" width="11.33203125" style="6" customWidth="1"/>
    <col min="1034" max="1034" width="8.109375" style="6" customWidth="1"/>
    <col min="1035" max="1035" width="9.109375" style="6" customWidth="1"/>
    <col min="1036" max="1036" width="7" style="6" customWidth="1"/>
    <col min="1037" max="1037" width="13.6640625" style="6" customWidth="1"/>
    <col min="1038" max="1038" width="11.6640625" style="6" bestFit="1" customWidth="1"/>
    <col min="1039" max="1039" width="13.5546875" style="6"/>
    <col min="1040" max="1040" width="15.109375" style="6" bestFit="1" customWidth="1"/>
    <col min="1041" max="1041" width="18.33203125" style="6" bestFit="1" customWidth="1"/>
    <col min="1042" max="1283" width="13.5546875" style="6"/>
    <col min="1284" max="1284" width="5" style="6" customWidth="1"/>
    <col min="1285" max="1285" width="13" style="6" bestFit="1" customWidth="1"/>
    <col min="1286" max="1286" width="11.6640625" style="6" bestFit="1" customWidth="1"/>
    <col min="1287" max="1287" width="13.5546875" style="6" customWidth="1"/>
    <col min="1288" max="1288" width="12.109375" style="6" bestFit="1" customWidth="1"/>
    <col min="1289" max="1289" width="11.33203125" style="6" customWidth="1"/>
    <col min="1290" max="1290" width="8.109375" style="6" customWidth="1"/>
    <col min="1291" max="1291" width="9.109375" style="6" customWidth="1"/>
    <col min="1292" max="1292" width="7" style="6" customWidth="1"/>
    <col min="1293" max="1293" width="13.6640625" style="6" customWidth="1"/>
    <col min="1294" max="1294" width="11.6640625" style="6" bestFit="1" customWidth="1"/>
    <col min="1295" max="1295" width="13.5546875" style="6"/>
    <col min="1296" max="1296" width="15.109375" style="6" bestFit="1" customWidth="1"/>
    <col min="1297" max="1297" width="18.33203125" style="6" bestFit="1" customWidth="1"/>
    <col min="1298" max="1539" width="13.5546875" style="6"/>
    <col min="1540" max="1540" width="5" style="6" customWidth="1"/>
    <col min="1541" max="1541" width="13" style="6" bestFit="1" customWidth="1"/>
    <col min="1542" max="1542" width="11.6640625" style="6" bestFit="1" customWidth="1"/>
    <col min="1543" max="1543" width="13.5546875" style="6" customWidth="1"/>
    <col min="1544" max="1544" width="12.109375" style="6" bestFit="1" customWidth="1"/>
    <col min="1545" max="1545" width="11.33203125" style="6" customWidth="1"/>
    <col min="1546" max="1546" width="8.109375" style="6" customWidth="1"/>
    <col min="1547" max="1547" width="9.109375" style="6" customWidth="1"/>
    <col min="1548" max="1548" width="7" style="6" customWidth="1"/>
    <col min="1549" max="1549" width="13.6640625" style="6" customWidth="1"/>
    <col min="1550" max="1550" width="11.6640625" style="6" bestFit="1" customWidth="1"/>
    <col min="1551" max="1551" width="13.5546875" style="6"/>
    <col min="1552" max="1552" width="15.109375" style="6" bestFit="1" customWidth="1"/>
    <col min="1553" max="1553" width="18.33203125" style="6" bestFit="1" customWidth="1"/>
    <col min="1554" max="1795" width="13.5546875" style="6"/>
    <col min="1796" max="1796" width="5" style="6" customWidth="1"/>
    <col min="1797" max="1797" width="13" style="6" bestFit="1" customWidth="1"/>
    <col min="1798" max="1798" width="11.6640625" style="6" bestFit="1" customWidth="1"/>
    <col min="1799" max="1799" width="13.5546875" style="6" customWidth="1"/>
    <col min="1800" max="1800" width="12.109375" style="6" bestFit="1" customWidth="1"/>
    <col min="1801" max="1801" width="11.33203125" style="6" customWidth="1"/>
    <col min="1802" max="1802" width="8.109375" style="6" customWidth="1"/>
    <col min="1803" max="1803" width="9.109375" style="6" customWidth="1"/>
    <col min="1804" max="1804" width="7" style="6" customWidth="1"/>
    <col min="1805" max="1805" width="13.6640625" style="6" customWidth="1"/>
    <col min="1806" max="1806" width="11.6640625" style="6" bestFit="1" customWidth="1"/>
    <col min="1807" max="1807" width="13.5546875" style="6"/>
    <col min="1808" max="1808" width="15.109375" style="6" bestFit="1" customWidth="1"/>
    <col min="1809" max="1809" width="18.33203125" style="6" bestFit="1" customWidth="1"/>
    <col min="1810" max="2051" width="13.5546875" style="6"/>
    <col min="2052" max="2052" width="5" style="6" customWidth="1"/>
    <col min="2053" max="2053" width="13" style="6" bestFit="1" customWidth="1"/>
    <col min="2054" max="2054" width="11.6640625" style="6" bestFit="1" customWidth="1"/>
    <col min="2055" max="2055" width="13.5546875" style="6" customWidth="1"/>
    <col min="2056" max="2056" width="12.109375" style="6" bestFit="1" customWidth="1"/>
    <col min="2057" max="2057" width="11.33203125" style="6" customWidth="1"/>
    <col min="2058" max="2058" width="8.109375" style="6" customWidth="1"/>
    <col min="2059" max="2059" width="9.109375" style="6" customWidth="1"/>
    <col min="2060" max="2060" width="7" style="6" customWidth="1"/>
    <col min="2061" max="2061" width="13.6640625" style="6" customWidth="1"/>
    <col min="2062" max="2062" width="11.6640625" style="6" bestFit="1" customWidth="1"/>
    <col min="2063" max="2063" width="13.5546875" style="6"/>
    <col min="2064" max="2064" width="15.109375" style="6" bestFit="1" customWidth="1"/>
    <col min="2065" max="2065" width="18.33203125" style="6" bestFit="1" customWidth="1"/>
    <col min="2066" max="2307" width="13.5546875" style="6"/>
    <col min="2308" max="2308" width="5" style="6" customWidth="1"/>
    <col min="2309" max="2309" width="13" style="6" bestFit="1" customWidth="1"/>
    <col min="2310" max="2310" width="11.6640625" style="6" bestFit="1" customWidth="1"/>
    <col min="2311" max="2311" width="13.5546875" style="6" customWidth="1"/>
    <col min="2312" max="2312" width="12.109375" style="6" bestFit="1" customWidth="1"/>
    <col min="2313" max="2313" width="11.33203125" style="6" customWidth="1"/>
    <col min="2314" max="2314" width="8.109375" style="6" customWidth="1"/>
    <col min="2315" max="2315" width="9.109375" style="6" customWidth="1"/>
    <col min="2316" max="2316" width="7" style="6" customWidth="1"/>
    <col min="2317" max="2317" width="13.6640625" style="6" customWidth="1"/>
    <col min="2318" max="2318" width="11.6640625" style="6" bestFit="1" customWidth="1"/>
    <col min="2319" max="2319" width="13.5546875" style="6"/>
    <col min="2320" max="2320" width="15.109375" style="6" bestFit="1" customWidth="1"/>
    <col min="2321" max="2321" width="18.33203125" style="6" bestFit="1" customWidth="1"/>
    <col min="2322" max="2563" width="13.5546875" style="6"/>
    <col min="2564" max="2564" width="5" style="6" customWidth="1"/>
    <col min="2565" max="2565" width="13" style="6" bestFit="1" customWidth="1"/>
    <col min="2566" max="2566" width="11.6640625" style="6" bestFit="1" customWidth="1"/>
    <col min="2567" max="2567" width="13.5546875" style="6" customWidth="1"/>
    <col min="2568" max="2568" width="12.109375" style="6" bestFit="1" customWidth="1"/>
    <col min="2569" max="2569" width="11.33203125" style="6" customWidth="1"/>
    <col min="2570" max="2570" width="8.109375" style="6" customWidth="1"/>
    <col min="2571" max="2571" width="9.109375" style="6" customWidth="1"/>
    <col min="2572" max="2572" width="7" style="6" customWidth="1"/>
    <col min="2573" max="2573" width="13.6640625" style="6" customWidth="1"/>
    <col min="2574" max="2574" width="11.6640625" style="6" bestFit="1" customWidth="1"/>
    <col min="2575" max="2575" width="13.5546875" style="6"/>
    <col min="2576" max="2576" width="15.109375" style="6" bestFit="1" customWidth="1"/>
    <col min="2577" max="2577" width="18.33203125" style="6" bestFit="1" customWidth="1"/>
    <col min="2578" max="2819" width="13.5546875" style="6"/>
    <col min="2820" max="2820" width="5" style="6" customWidth="1"/>
    <col min="2821" max="2821" width="13" style="6" bestFit="1" customWidth="1"/>
    <col min="2822" max="2822" width="11.6640625" style="6" bestFit="1" customWidth="1"/>
    <col min="2823" max="2823" width="13.5546875" style="6" customWidth="1"/>
    <col min="2824" max="2824" width="12.109375" style="6" bestFit="1" customWidth="1"/>
    <col min="2825" max="2825" width="11.33203125" style="6" customWidth="1"/>
    <col min="2826" max="2826" width="8.109375" style="6" customWidth="1"/>
    <col min="2827" max="2827" width="9.109375" style="6" customWidth="1"/>
    <col min="2828" max="2828" width="7" style="6" customWidth="1"/>
    <col min="2829" max="2829" width="13.6640625" style="6" customWidth="1"/>
    <col min="2830" max="2830" width="11.6640625" style="6" bestFit="1" customWidth="1"/>
    <col min="2831" max="2831" width="13.5546875" style="6"/>
    <col min="2832" max="2832" width="15.109375" style="6" bestFit="1" customWidth="1"/>
    <col min="2833" max="2833" width="18.33203125" style="6" bestFit="1" customWidth="1"/>
    <col min="2834" max="3075" width="13.5546875" style="6"/>
    <col min="3076" max="3076" width="5" style="6" customWidth="1"/>
    <col min="3077" max="3077" width="13" style="6" bestFit="1" customWidth="1"/>
    <col min="3078" max="3078" width="11.6640625" style="6" bestFit="1" customWidth="1"/>
    <col min="3079" max="3079" width="13.5546875" style="6" customWidth="1"/>
    <col min="3080" max="3080" width="12.109375" style="6" bestFit="1" customWidth="1"/>
    <col min="3081" max="3081" width="11.33203125" style="6" customWidth="1"/>
    <col min="3082" max="3082" width="8.109375" style="6" customWidth="1"/>
    <col min="3083" max="3083" width="9.109375" style="6" customWidth="1"/>
    <col min="3084" max="3084" width="7" style="6" customWidth="1"/>
    <col min="3085" max="3085" width="13.6640625" style="6" customWidth="1"/>
    <col min="3086" max="3086" width="11.6640625" style="6" bestFit="1" customWidth="1"/>
    <col min="3087" max="3087" width="13.5546875" style="6"/>
    <col min="3088" max="3088" width="15.109375" style="6" bestFit="1" customWidth="1"/>
    <col min="3089" max="3089" width="18.33203125" style="6" bestFit="1" customWidth="1"/>
    <col min="3090" max="3331" width="13.5546875" style="6"/>
    <col min="3332" max="3332" width="5" style="6" customWidth="1"/>
    <col min="3333" max="3333" width="13" style="6" bestFit="1" customWidth="1"/>
    <col min="3334" max="3334" width="11.6640625" style="6" bestFit="1" customWidth="1"/>
    <col min="3335" max="3335" width="13.5546875" style="6" customWidth="1"/>
    <col min="3336" max="3336" width="12.109375" style="6" bestFit="1" customWidth="1"/>
    <col min="3337" max="3337" width="11.33203125" style="6" customWidth="1"/>
    <col min="3338" max="3338" width="8.109375" style="6" customWidth="1"/>
    <col min="3339" max="3339" width="9.109375" style="6" customWidth="1"/>
    <col min="3340" max="3340" width="7" style="6" customWidth="1"/>
    <col min="3341" max="3341" width="13.6640625" style="6" customWidth="1"/>
    <col min="3342" max="3342" width="11.6640625" style="6" bestFit="1" customWidth="1"/>
    <col min="3343" max="3343" width="13.5546875" style="6"/>
    <col min="3344" max="3344" width="15.109375" style="6" bestFit="1" customWidth="1"/>
    <col min="3345" max="3345" width="18.33203125" style="6" bestFit="1" customWidth="1"/>
    <col min="3346" max="3587" width="13.5546875" style="6"/>
    <col min="3588" max="3588" width="5" style="6" customWidth="1"/>
    <col min="3589" max="3589" width="13" style="6" bestFit="1" customWidth="1"/>
    <col min="3590" max="3590" width="11.6640625" style="6" bestFit="1" customWidth="1"/>
    <col min="3591" max="3591" width="13.5546875" style="6" customWidth="1"/>
    <col min="3592" max="3592" width="12.109375" style="6" bestFit="1" customWidth="1"/>
    <col min="3593" max="3593" width="11.33203125" style="6" customWidth="1"/>
    <col min="3594" max="3594" width="8.109375" style="6" customWidth="1"/>
    <col min="3595" max="3595" width="9.109375" style="6" customWidth="1"/>
    <col min="3596" max="3596" width="7" style="6" customWidth="1"/>
    <col min="3597" max="3597" width="13.6640625" style="6" customWidth="1"/>
    <col min="3598" max="3598" width="11.6640625" style="6" bestFit="1" customWidth="1"/>
    <col min="3599" max="3599" width="13.5546875" style="6"/>
    <col min="3600" max="3600" width="15.109375" style="6" bestFit="1" customWidth="1"/>
    <col min="3601" max="3601" width="18.33203125" style="6" bestFit="1" customWidth="1"/>
    <col min="3602" max="3843" width="13.5546875" style="6"/>
    <col min="3844" max="3844" width="5" style="6" customWidth="1"/>
    <col min="3845" max="3845" width="13" style="6" bestFit="1" customWidth="1"/>
    <col min="3846" max="3846" width="11.6640625" style="6" bestFit="1" customWidth="1"/>
    <col min="3847" max="3847" width="13.5546875" style="6" customWidth="1"/>
    <col min="3848" max="3848" width="12.109375" style="6" bestFit="1" customWidth="1"/>
    <col min="3849" max="3849" width="11.33203125" style="6" customWidth="1"/>
    <col min="3850" max="3850" width="8.109375" style="6" customWidth="1"/>
    <col min="3851" max="3851" width="9.109375" style="6" customWidth="1"/>
    <col min="3852" max="3852" width="7" style="6" customWidth="1"/>
    <col min="3853" max="3853" width="13.6640625" style="6" customWidth="1"/>
    <col min="3854" max="3854" width="11.6640625" style="6" bestFit="1" customWidth="1"/>
    <col min="3855" max="3855" width="13.5546875" style="6"/>
    <col min="3856" max="3856" width="15.109375" style="6" bestFit="1" customWidth="1"/>
    <col min="3857" max="3857" width="18.33203125" style="6" bestFit="1" customWidth="1"/>
    <col min="3858" max="4099" width="13.5546875" style="6"/>
    <col min="4100" max="4100" width="5" style="6" customWidth="1"/>
    <col min="4101" max="4101" width="13" style="6" bestFit="1" customWidth="1"/>
    <col min="4102" max="4102" width="11.6640625" style="6" bestFit="1" customWidth="1"/>
    <col min="4103" max="4103" width="13.5546875" style="6" customWidth="1"/>
    <col min="4104" max="4104" width="12.109375" style="6" bestFit="1" customWidth="1"/>
    <col min="4105" max="4105" width="11.33203125" style="6" customWidth="1"/>
    <col min="4106" max="4106" width="8.109375" style="6" customWidth="1"/>
    <col min="4107" max="4107" width="9.109375" style="6" customWidth="1"/>
    <col min="4108" max="4108" width="7" style="6" customWidth="1"/>
    <col min="4109" max="4109" width="13.6640625" style="6" customWidth="1"/>
    <col min="4110" max="4110" width="11.6640625" style="6" bestFit="1" customWidth="1"/>
    <col min="4111" max="4111" width="13.5546875" style="6"/>
    <col min="4112" max="4112" width="15.109375" style="6" bestFit="1" customWidth="1"/>
    <col min="4113" max="4113" width="18.33203125" style="6" bestFit="1" customWidth="1"/>
    <col min="4114" max="4355" width="13.5546875" style="6"/>
    <col min="4356" max="4356" width="5" style="6" customWidth="1"/>
    <col min="4357" max="4357" width="13" style="6" bestFit="1" customWidth="1"/>
    <col min="4358" max="4358" width="11.6640625" style="6" bestFit="1" customWidth="1"/>
    <col min="4359" max="4359" width="13.5546875" style="6" customWidth="1"/>
    <col min="4360" max="4360" width="12.109375" style="6" bestFit="1" customWidth="1"/>
    <col min="4361" max="4361" width="11.33203125" style="6" customWidth="1"/>
    <col min="4362" max="4362" width="8.109375" style="6" customWidth="1"/>
    <col min="4363" max="4363" width="9.109375" style="6" customWidth="1"/>
    <col min="4364" max="4364" width="7" style="6" customWidth="1"/>
    <col min="4365" max="4365" width="13.6640625" style="6" customWidth="1"/>
    <col min="4366" max="4366" width="11.6640625" style="6" bestFit="1" customWidth="1"/>
    <col min="4367" max="4367" width="13.5546875" style="6"/>
    <col min="4368" max="4368" width="15.109375" style="6" bestFit="1" customWidth="1"/>
    <col min="4369" max="4369" width="18.33203125" style="6" bestFit="1" customWidth="1"/>
    <col min="4370" max="4611" width="13.5546875" style="6"/>
    <col min="4612" max="4612" width="5" style="6" customWidth="1"/>
    <col min="4613" max="4613" width="13" style="6" bestFit="1" customWidth="1"/>
    <col min="4614" max="4614" width="11.6640625" style="6" bestFit="1" customWidth="1"/>
    <col min="4615" max="4615" width="13.5546875" style="6" customWidth="1"/>
    <col min="4616" max="4616" width="12.109375" style="6" bestFit="1" customWidth="1"/>
    <col min="4617" max="4617" width="11.33203125" style="6" customWidth="1"/>
    <col min="4618" max="4618" width="8.109375" style="6" customWidth="1"/>
    <col min="4619" max="4619" width="9.109375" style="6" customWidth="1"/>
    <col min="4620" max="4620" width="7" style="6" customWidth="1"/>
    <col min="4621" max="4621" width="13.6640625" style="6" customWidth="1"/>
    <col min="4622" max="4622" width="11.6640625" style="6" bestFit="1" customWidth="1"/>
    <col min="4623" max="4623" width="13.5546875" style="6"/>
    <col min="4624" max="4624" width="15.109375" style="6" bestFit="1" customWidth="1"/>
    <col min="4625" max="4625" width="18.33203125" style="6" bestFit="1" customWidth="1"/>
    <col min="4626" max="4867" width="13.5546875" style="6"/>
    <col min="4868" max="4868" width="5" style="6" customWidth="1"/>
    <col min="4869" max="4869" width="13" style="6" bestFit="1" customWidth="1"/>
    <col min="4870" max="4870" width="11.6640625" style="6" bestFit="1" customWidth="1"/>
    <col min="4871" max="4871" width="13.5546875" style="6" customWidth="1"/>
    <col min="4872" max="4872" width="12.109375" style="6" bestFit="1" customWidth="1"/>
    <col min="4873" max="4873" width="11.33203125" style="6" customWidth="1"/>
    <col min="4874" max="4874" width="8.109375" style="6" customWidth="1"/>
    <col min="4875" max="4875" width="9.109375" style="6" customWidth="1"/>
    <col min="4876" max="4876" width="7" style="6" customWidth="1"/>
    <col min="4877" max="4877" width="13.6640625" style="6" customWidth="1"/>
    <col min="4878" max="4878" width="11.6640625" style="6" bestFit="1" customWidth="1"/>
    <col min="4879" max="4879" width="13.5546875" style="6"/>
    <col min="4880" max="4880" width="15.109375" style="6" bestFit="1" customWidth="1"/>
    <col min="4881" max="4881" width="18.33203125" style="6" bestFit="1" customWidth="1"/>
    <col min="4882" max="5123" width="13.5546875" style="6"/>
    <col min="5124" max="5124" width="5" style="6" customWidth="1"/>
    <col min="5125" max="5125" width="13" style="6" bestFit="1" customWidth="1"/>
    <col min="5126" max="5126" width="11.6640625" style="6" bestFit="1" customWidth="1"/>
    <col min="5127" max="5127" width="13.5546875" style="6" customWidth="1"/>
    <col min="5128" max="5128" width="12.109375" style="6" bestFit="1" customWidth="1"/>
    <col min="5129" max="5129" width="11.33203125" style="6" customWidth="1"/>
    <col min="5130" max="5130" width="8.109375" style="6" customWidth="1"/>
    <col min="5131" max="5131" width="9.109375" style="6" customWidth="1"/>
    <col min="5132" max="5132" width="7" style="6" customWidth="1"/>
    <col min="5133" max="5133" width="13.6640625" style="6" customWidth="1"/>
    <col min="5134" max="5134" width="11.6640625" style="6" bestFit="1" customWidth="1"/>
    <col min="5135" max="5135" width="13.5546875" style="6"/>
    <col min="5136" max="5136" width="15.109375" style="6" bestFit="1" customWidth="1"/>
    <col min="5137" max="5137" width="18.33203125" style="6" bestFit="1" customWidth="1"/>
    <col min="5138" max="5379" width="13.5546875" style="6"/>
    <col min="5380" max="5380" width="5" style="6" customWidth="1"/>
    <col min="5381" max="5381" width="13" style="6" bestFit="1" customWidth="1"/>
    <col min="5382" max="5382" width="11.6640625" style="6" bestFit="1" customWidth="1"/>
    <col min="5383" max="5383" width="13.5546875" style="6" customWidth="1"/>
    <col min="5384" max="5384" width="12.109375" style="6" bestFit="1" customWidth="1"/>
    <col min="5385" max="5385" width="11.33203125" style="6" customWidth="1"/>
    <col min="5386" max="5386" width="8.109375" style="6" customWidth="1"/>
    <col min="5387" max="5387" width="9.109375" style="6" customWidth="1"/>
    <col min="5388" max="5388" width="7" style="6" customWidth="1"/>
    <col min="5389" max="5389" width="13.6640625" style="6" customWidth="1"/>
    <col min="5390" max="5390" width="11.6640625" style="6" bestFit="1" customWidth="1"/>
    <col min="5391" max="5391" width="13.5546875" style="6"/>
    <col min="5392" max="5392" width="15.109375" style="6" bestFit="1" customWidth="1"/>
    <col min="5393" max="5393" width="18.33203125" style="6" bestFit="1" customWidth="1"/>
    <col min="5394" max="5635" width="13.5546875" style="6"/>
    <col min="5636" max="5636" width="5" style="6" customWidth="1"/>
    <col min="5637" max="5637" width="13" style="6" bestFit="1" customWidth="1"/>
    <col min="5638" max="5638" width="11.6640625" style="6" bestFit="1" customWidth="1"/>
    <col min="5639" max="5639" width="13.5546875" style="6" customWidth="1"/>
    <col min="5640" max="5640" width="12.109375" style="6" bestFit="1" customWidth="1"/>
    <col min="5641" max="5641" width="11.33203125" style="6" customWidth="1"/>
    <col min="5642" max="5642" width="8.109375" style="6" customWidth="1"/>
    <col min="5643" max="5643" width="9.109375" style="6" customWidth="1"/>
    <col min="5644" max="5644" width="7" style="6" customWidth="1"/>
    <col min="5645" max="5645" width="13.6640625" style="6" customWidth="1"/>
    <col min="5646" max="5646" width="11.6640625" style="6" bestFit="1" customWidth="1"/>
    <col min="5647" max="5647" width="13.5546875" style="6"/>
    <col min="5648" max="5648" width="15.109375" style="6" bestFit="1" customWidth="1"/>
    <col min="5649" max="5649" width="18.33203125" style="6" bestFit="1" customWidth="1"/>
    <col min="5650" max="5891" width="13.5546875" style="6"/>
    <col min="5892" max="5892" width="5" style="6" customWidth="1"/>
    <col min="5893" max="5893" width="13" style="6" bestFit="1" customWidth="1"/>
    <col min="5894" max="5894" width="11.6640625" style="6" bestFit="1" customWidth="1"/>
    <col min="5895" max="5895" width="13.5546875" style="6" customWidth="1"/>
    <col min="5896" max="5896" width="12.109375" style="6" bestFit="1" customWidth="1"/>
    <col min="5897" max="5897" width="11.33203125" style="6" customWidth="1"/>
    <col min="5898" max="5898" width="8.109375" style="6" customWidth="1"/>
    <col min="5899" max="5899" width="9.109375" style="6" customWidth="1"/>
    <col min="5900" max="5900" width="7" style="6" customWidth="1"/>
    <col min="5901" max="5901" width="13.6640625" style="6" customWidth="1"/>
    <col min="5902" max="5902" width="11.6640625" style="6" bestFit="1" customWidth="1"/>
    <col min="5903" max="5903" width="13.5546875" style="6"/>
    <col min="5904" max="5904" width="15.109375" style="6" bestFit="1" customWidth="1"/>
    <col min="5905" max="5905" width="18.33203125" style="6" bestFit="1" customWidth="1"/>
    <col min="5906" max="6147" width="13.5546875" style="6"/>
    <col min="6148" max="6148" width="5" style="6" customWidth="1"/>
    <col min="6149" max="6149" width="13" style="6" bestFit="1" customWidth="1"/>
    <col min="6150" max="6150" width="11.6640625" style="6" bestFit="1" customWidth="1"/>
    <col min="6151" max="6151" width="13.5546875" style="6" customWidth="1"/>
    <col min="6152" max="6152" width="12.109375" style="6" bestFit="1" customWidth="1"/>
    <col min="6153" max="6153" width="11.33203125" style="6" customWidth="1"/>
    <col min="6154" max="6154" width="8.109375" style="6" customWidth="1"/>
    <col min="6155" max="6155" width="9.109375" style="6" customWidth="1"/>
    <col min="6156" max="6156" width="7" style="6" customWidth="1"/>
    <col min="6157" max="6157" width="13.6640625" style="6" customWidth="1"/>
    <col min="6158" max="6158" width="11.6640625" style="6" bestFit="1" customWidth="1"/>
    <col min="6159" max="6159" width="13.5546875" style="6"/>
    <col min="6160" max="6160" width="15.109375" style="6" bestFit="1" customWidth="1"/>
    <col min="6161" max="6161" width="18.33203125" style="6" bestFit="1" customWidth="1"/>
    <col min="6162" max="6403" width="13.5546875" style="6"/>
    <col min="6404" max="6404" width="5" style="6" customWidth="1"/>
    <col min="6405" max="6405" width="13" style="6" bestFit="1" customWidth="1"/>
    <col min="6406" max="6406" width="11.6640625" style="6" bestFit="1" customWidth="1"/>
    <col min="6407" max="6407" width="13.5546875" style="6" customWidth="1"/>
    <col min="6408" max="6408" width="12.109375" style="6" bestFit="1" customWidth="1"/>
    <col min="6409" max="6409" width="11.33203125" style="6" customWidth="1"/>
    <col min="6410" max="6410" width="8.109375" style="6" customWidth="1"/>
    <col min="6411" max="6411" width="9.109375" style="6" customWidth="1"/>
    <col min="6412" max="6412" width="7" style="6" customWidth="1"/>
    <col min="6413" max="6413" width="13.6640625" style="6" customWidth="1"/>
    <col min="6414" max="6414" width="11.6640625" style="6" bestFit="1" customWidth="1"/>
    <col min="6415" max="6415" width="13.5546875" style="6"/>
    <col min="6416" max="6416" width="15.109375" style="6" bestFit="1" customWidth="1"/>
    <col min="6417" max="6417" width="18.33203125" style="6" bestFit="1" customWidth="1"/>
    <col min="6418" max="6659" width="13.5546875" style="6"/>
    <col min="6660" max="6660" width="5" style="6" customWidth="1"/>
    <col min="6661" max="6661" width="13" style="6" bestFit="1" customWidth="1"/>
    <col min="6662" max="6662" width="11.6640625" style="6" bestFit="1" customWidth="1"/>
    <col min="6663" max="6663" width="13.5546875" style="6" customWidth="1"/>
    <col min="6664" max="6664" width="12.109375" style="6" bestFit="1" customWidth="1"/>
    <col min="6665" max="6665" width="11.33203125" style="6" customWidth="1"/>
    <col min="6666" max="6666" width="8.109375" style="6" customWidth="1"/>
    <col min="6667" max="6667" width="9.109375" style="6" customWidth="1"/>
    <col min="6668" max="6668" width="7" style="6" customWidth="1"/>
    <col min="6669" max="6669" width="13.6640625" style="6" customWidth="1"/>
    <col min="6670" max="6670" width="11.6640625" style="6" bestFit="1" customWidth="1"/>
    <col min="6671" max="6671" width="13.5546875" style="6"/>
    <col min="6672" max="6672" width="15.109375" style="6" bestFit="1" customWidth="1"/>
    <col min="6673" max="6673" width="18.33203125" style="6" bestFit="1" customWidth="1"/>
    <col min="6674" max="6915" width="13.5546875" style="6"/>
    <col min="6916" max="6916" width="5" style="6" customWidth="1"/>
    <col min="6917" max="6917" width="13" style="6" bestFit="1" customWidth="1"/>
    <col min="6918" max="6918" width="11.6640625" style="6" bestFit="1" customWidth="1"/>
    <col min="6919" max="6919" width="13.5546875" style="6" customWidth="1"/>
    <col min="6920" max="6920" width="12.109375" style="6" bestFit="1" customWidth="1"/>
    <col min="6921" max="6921" width="11.33203125" style="6" customWidth="1"/>
    <col min="6922" max="6922" width="8.109375" style="6" customWidth="1"/>
    <col min="6923" max="6923" width="9.109375" style="6" customWidth="1"/>
    <col min="6924" max="6924" width="7" style="6" customWidth="1"/>
    <col min="6925" max="6925" width="13.6640625" style="6" customWidth="1"/>
    <col min="6926" max="6926" width="11.6640625" style="6" bestFit="1" customWidth="1"/>
    <col min="6927" max="6927" width="13.5546875" style="6"/>
    <col min="6928" max="6928" width="15.109375" style="6" bestFit="1" customWidth="1"/>
    <col min="6929" max="6929" width="18.33203125" style="6" bestFit="1" customWidth="1"/>
    <col min="6930" max="7171" width="13.5546875" style="6"/>
    <col min="7172" max="7172" width="5" style="6" customWidth="1"/>
    <col min="7173" max="7173" width="13" style="6" bestFit="1" customWidth="1"/>
    <col min="7174" max="7174" width="11.6640625" style="6" bestFit="1" customWidth="1"/>
    <col min="7175" max="7175" width="13.5546875" style="6" customWidth="1"/>
    <col min="7176" max="7176" width="12.109375" style="6" bestFit="1" customWidth="1"/>
    <col min="7177" max="7177" width="11.33203125" style="6" customWidth="1"/>
    <col min="7178" max="7178" width="8.109375" style="6" customWidth="1"/>
    <col min="7179" max="7179" width="9.109375" style="6" customWidth="1"/>
    <col min="7180" max="7180" width="7" style="6" customWidth="1"/>
    <col min="7181" max="7181" width="13.6640625" style="6" customWidth="1"/>
    <col min="7182" max="7182" width="11.6640625" style="6" bestFit="1" customWidth="1"/>
    <col min="7183" max="7183" width="13.5546875" style="6"/>
    <col min="7184" max="7184" width="15.109375" style="6" bestFit="1" customWidth="1"/>
    <col min="7185" max="7185" width="18.33203125" style="6" bestFit="1" customWidth="1"/>
    <col min="7186" max="7427" width="13.5546875" style="6"/>
    <col min="7428" max="7428" width="5" style="6" customWidth="1"/>
    <col min="7429" max="7429" width="13" style="6" bestFit="1" customWidth="1"/>
    <col min="7430" max="7430" width="11.6640625" style="6" bestFit="1" customWidth="1"/>
    <col min="7431" max="7431" width="13.5546875" style="6" customWidth="1"/>
    <col min="7432" max="7432" width="12.109375" style="6" bestFit="1" customWidth="1"/>
    <col min="7433" max="7433" width="11.33203125" style="6" customWidth="1"/>
    <col min="7434" max="7434" width="8.109375" style="6" customWidth="1"/>
    <col min="7435" max="7435" width="9.109375" style="6" customWidth="1"/>
    <col min="7436" max="7436" width="7" style="6" customWidth="1"/>
    <col min="7437" max="7437" width="13.6640625" style="6" customWidth="1"/>
    <col min="7438" max="7438" width="11.6640625" style="6" bestFit="1" customWidth="1"/>
    <col min="7439" max="7439" width="13.5546875" style="6"/>
    <col min="7440" max="7440" width="15.109375" style="6" bestFit="1" customWidth="1"/>
    <col min="7441" max="7441" width="18.33203125" style="6" bestFit="1" customWidth="1"/>
    <col min="7442" max="7683" width="13.5546875" style="6"/>
    <col min="7684" max="7684" width="5" style="6" customWidth="1"/>
    <col min="7685" max="7685" width="13" style="6" bestFit="1" customWidth="1"/>
    <col min="7686" max="7686" width="11.6640625" style="6" bestFit="1" customWidth="1"/>
    <col min="7687" max="7687" width="13.5546875" style="6" customWidth="1"/>
    <col min="7688" max="7688" width="12.109375" style="6" bestFit="1" customWidth="1"/>
    <col min="7689" max="7689" width="11.33203125" style="6" customWidth="1"/>
    <col min="7690" max="7690" width="8.109375" style="6" customWidth="1"/>
    <col min="7691" max="7691" width="9.109375" style="6" customWidth="1"/>
    <col min="7692" max="7692" width="7" style="6" customWidth="1"/>
    <col min="7693" max="7693" width="13.6640625" style="6" customWidth="1"/>
    <col min="7694" max="7694" width="11.6640625" style="6" bestFit="1" customWidth="1"/>
    <col min="7695" max="7695" width="13.5546875" style="6"/>
    <col min="7696" max="7696" width="15.109375" style="6" bestFit="1" customWidth="1"/>
    <col min="7697" max="7697" width="18.33203125" style="6" bestFit="1" customWidth="1"/>
    <col min="7698" max="7939" width="13.5546875" style="6"/>
    <col min="7940" max="7940" width="5" style="6" customWidth="1"/>
    <col min="7941" max="7941" width="13" style="6" bestFit="1" customWidth="1"/>
    <col min="7942" max="7942" width="11.6640625" style="6" bestFit="1" customWidth="1"/>
    <col min="7943" max="7943" width="13.5546875" style="6" customWidth="1"/>
    <col min="7944" max="7944" width="12.109375" style="6" bestFit="1" customWidth="1"/>
    <col min="7945" max="7945" width="11.33203125" style="6" customWidth="1"/>
    <col min="7946" max="7946" width="8.109375" style="6" customWidth="1"/>
    <col min="7947" max="7947" width="9.109375" style="6" customWidth="1"/>
    <col min="7948" max="7948" width="7" style="6" customWidth="1"/>
    <col min="7949" max="7949" width="13.6640625" style="6" customWidth="1"/>
    <col min="7950" max="7950" width="11.6640625" style="6" bestFit="1" customWidth="1"/>
    <col min="7951" max="7951" width="13.5546875" style="6"/>
    <col min="7952" max="7952" width="15.109375" style="6" bestFit="1" customWidth="1"/>
    <col min="7953" max="7953" width="18.33203125" style="6" bestFit="1" customWidth="1"/>
    <col min="7954" max="8195" width="13.5546875" style="6"/>
    <col min="8196" max="8196" width="5" style="6" customWidth="1"/>
    <col min="8197" max="8197" width="13" style="6" bestFit="1" customWidth="1"/>
    <col min="8198" max="8198" width="11.6640625" style="6" bestFit="1" customWidth="1"/>
    <col min="8199" max="8199" width="13.5546875" style="6" customWidth="1"/>
    <col min="8200" max="8200" width="12.109375" style="6" bestFit="1" customWidth="1"/>
    <col min="8201" max="8201" width="11.33203125" style="6" customWidth="1"/>
    <col min="8202" max="8202" width="8.109375" style="6" customWidth="1"/>
    <col min="8203" max="8203" width="9.109375" style="6" customWidth="1"/>
    <col min="8204" max="8204" width="7" style="6" customWidth="1"/>
    <col min="8205" max="8205" width="13.6640625" style="6" customWidth="1"/>
    <col min="8206" max="8206" width="11.6640625" style="6" bestFit="1" customWidth="1"/>
    <col min="8207" max="8207" width="13.5546875" style="6"/>
    <col min="8208" max="8208" width="15.109375" style="6" bestFit="1" customWidth="1"/>
    <col min="8209" max="8209" width="18.33203125" style="6" bestFit="1" customWidth="1"/>
    <col min="8210" max="8451" width="13.5546875" style="6"/>
    <col min="8452" max="8452" width="5" style="6" customWidth="1"/>
    <col min="8453" max="8453" width="13" style="6" bestFit="1" customWidth="1"/>
    <col min="8454" max="8454" width="11.6640625" style="6" bestFit="1" customWidth="1"/>
    <col min="8455" max="8455" width="13.5546875" style="6" customWidth="1"/>
    <col min="8456" max="8456" width="12.109375" style="6" bestFit="1" customWidth="1"/>
    <col min="8457" max="8457" width="11.33203125" style="6" customWidth="1"/>
    <col min="8458" max="8458" width="8.109375" style="6" customWidth="1"/>
    <col min="8459" max="8459" width="9.109375" style="6" customWidth="1"/>
    <col min="8460" max="8460" width="7" style="6" customWidth="1"/>
    <col min="8461" max="8461" width="13.6640625" style="6" customWidth="1"/>
    <col min="8462" max="8462" width="11.6640625" style="6" bestFit="1" customWidth="1"/>
    <col min="8463" max="8463" width="13.5546875" style="6"/>
    <col min="8464" max="8464" width="15.109375" style="6" bestFit="1" customWidth="1"/>
    <col min="8465" max="8465" width="18.33203125" style="6" bestFit="1" customWidth="1"/>
    <col min="8466" max="8707" width="13.5546875" style="6"/>
    <col min="8708" max="8708" width="5" style="6" customWidth="1"/>
    <col min="8709" max="8709" width="13" style="6" bestFit="1" customWidth="1"/>
    <col min="8710" max="8710" width="11.6640625" style="6" bestFit="1" customWidth="1"/>
    <col min="8711" max="8711" width="13.5546875" style="6" customWidth="1"/>
    <col min="8712" max="8712" width="12.109375" style="6" bestFit="1" customWidth="1"/>
    <col min="8713" max="8713" width="11.33203125" style="6" customWidth="1"/>
    <col min="8714" max="8714" width="8.109375" style="6" customWidth="1"/>
    <col min="8715" max="8715" width="9.109375" style="6" customWidth="1"/>
    <col min="8716" max="8716" width="7" style="6" customWidth="1"/>
    <col min="8717" max="8717" width="13.6640625" style="6" customWidth="1"/>
    <col min="8718" max="8718" width="11.6640625" style="6" bestFit="1" customWidth="1"/>
    <col min="8719" max="8719" width="13.5546875" style="6"/>
    <col min="8720" max="8720" width="15.109375" style="6" bestFit="1" customWidth="1"/>
    <col min="8721" max="8721" width="18.33203125" style="6" bestFit="1" customWidth="1"/>
    <col min="8722" max="8963" width="13.5546875" style="6"/>
    <col min="8964" max="8964" width="5" style="6" customWidth="1"/>
    <col min="8965" max="8965" width="13" style="6" bestFit="1" customWidth="1"/>
    <col min="8966" max="8966" width="11.6640625" style="6" bestFit="1" customWidth="1"/>
    <col min="8967" max="8967" width="13.5546875" style="6" customWidth="1"/>
    <col min="8968" max="8968" width="12.109375" style="6" bestFit="1" customWidth="1"/>
    <col min="8969" max="8969" width="11.33203125" style="6" customWidth="1"/>
    <col min="8970" max="8970" width="8.109375" style="6" customWidth="1"/>
    <col min="8971" max="8971" width="9.109375" style="6" customWidth="1"/>
    <col min="8972" max="8972" width="7" style="6" customWidth="1"/>
    <col min="8973" max="8973" width="13.6640625" style="6" customWidth="1"/>
    <col min="8974" max="8974" width="11.6640625" style="6" bestFit="1" customWidth="1"/>
    <col min="8975" max="8975" width="13.5546875" style="6"/>
    <col min="8976" max="8976" width="15.109375" style="6" bestFit="1" customWidth="1"/>
    <col min="8977" max="8977" width="18.33203125" style="6" bestFit="1" customWidth="1"/>
    <col min="8978" max="9219" width="13.5546875" style="6"/>
    <col min="9220" max="9220" width="5" style="6" customWidth="1"/>
    <col min="9221" max="9221" width="13" style="6" bestFit="1" customWidth="1"/>
    <col min="9222" max="9222" width="11.6640625" style="6" bestFit="1" customWidth="1"/>
    <col min="9223" max="9223" width="13.5546875" style="6" customWidth="1"/>
    <col min="9224" max="9224" width="12.109375" style="6" bestFit="1" customWidth="1"/>
    <col min="9225" max="9225" width="11.33203125" style="6" customWidth="1"/>
    <col min="9226" max="9226" width="8.109375" style="6" customWidth="1"/>
    <col min="9227" max="9227" width="9.109375" style="6" customWidth="1"/>
    <col min="9228" max="9228" width="7" style="6" customWidth="1"/>
    <col min="9229" max="9229" width="13.6640625" style="6" customWidth="1"/>
    <col min="9230" max="9230" width="11.6640625" style="6" bestFit="1" customWidth="1"/>
    <col min="9231" max="9231" width="13.5546875" style="6"/>
    <col min="9232" max="9232" width="15.109375" style="6" bestFit="1" customWidth="1"/>
    <col min="9233" max="9233" width="18.33203125" style="6" bestFit="1" customWidth="1"/>
    <col min="9234" max="9475" width="13.5546875" style="6"/>
    <col min="9476" max="9476" width="5" style="6" customWidth="1"/>
    <col min="9477" max="9477" width="13" style="6" bestFit="1" customWidth="1"/>
    <col min="9478" max="9478" width="11.6640625" style="6" bestFit="1" customWidth="1"/>
    <col min="9479" max="9479" width="13.5546875" style="6" customWidth="1"/>
    <col min="9480" max="9480" width="12.109375" style="6" bestFit="1" customWidth="1"/>
    <col min="9481" max="9481" width="11.33203125" style="6" customWidth="1"/>
    <col min="9482" max="9482" width="8.109375" style="6" customWidth="1"/>
    <col min="9483" max="9483" width="9.109375" style="6" customWidth="1"/>
    <col min="9484" max="9484" width="7" style="6" customWidth="1"/>
    <col min="9485" max="9485" width="13.6640625" style="6" customWidth="1"/>
    <col min="9486" max="9486" width="11.6640625" style="6" bestFit="1" customWidth="1"/>
    <col min="9487" max="9487" width="13.5546875" style="6"/>
    <col min="9488" max="9488" width="15.109375" style="6" bestFit="1" customWidth="1"/>
    <col min="9489" max="9489" width="18.33203125" style="6" bestFit="1" customWidth="1"/>
    <col min="9490" max="9731" width="13.5546875" style="6"/>
    <col min="9732" max="9732" width="5" style="6" customWidth="1"/>
    <col min="9733" max="9733" width="13" style="6" bestFit="1" customWidth="1"/>
    <col min="9734" max="9734" width="11.6640625" style="6" bestFit="1" customWidth="1"/>
    <col min="9735" max="9735" width="13.5546875" style="6" customWidth="1"/>
    <col min="9736" max="9736" width="12.109375" style="6" bestFit="1" customWidth="1"/>
    <col min="9737" max="9737" width="11.33203125" style="6" customWidth="1"/>
    <col min="9738" max="9738" width="8.109375" style="6" customWidth="1"/>
    <col min="9739" max="9739" width="9.109375" style="6" customWidth="1"/>
    <col min="9740" max="9740" width="7" style="6" customWidth="1"/>
    <col min="9741" max="9741" width="13.6640625" style="6" customWidth="1"/>
    <col min="9742" max="9742" width="11.6640625" style="6" bestFit="1" customWidth="1"/>
    <col min="9743" max="9743" width="13.5546875" style="6"/>
    <col min="9744" max="9744" width="15.109375" style="6" bestFit="1" customWidth="1"/>
    <col min="9745" max="9745" width="18.33203125" style="6" bestFit="1" customWidth="1"/>
    <col min="9746" max="9987" width="13.5546875" style="6"/>
    <col min="9988" max="9988" width="5" style="6" customWidth="1"/>
    <col min="9989" max="9989" width="13" style="6" bestFit="1" customWidth="1"/>
    <col min="9990" max="9990" width="11.6640625" style="6" bestFit="1" customWidth="1"/>
    <col min="9991" max="9991" width="13.5546875" style="6" customWidth="1"/>
    <col min="9992" max="9992" width="12.109375" style="6" bestFit="1" customWidth="1"/>
    <col min="9993" max="9993" width="11.33203125" style="6" customWidth="1"/>
    <col min="9994" max="9994" width="8.109375" style="6" customWidth="1"/>
    <col min="9995" max="9995" width="9.109375" style="6" customWidth="1"/>
    <col min="9996" max="9996" width="7" style="6" customWidth="1"/>
    <col min="9997" max="9997" width="13.6640625" style="6" customWidth="1"/>
    <col min="9998" max="9998" width="11.6640625" style="6" bestFit="1" customWidth="1"/>
    <col min="9999" max="9999" width="13.5546875" style="6"/>
    <col min="10000" max="10000" width="15.109375" style="6" bestFit="1" customWidth="1"/>
    <col min="10001" max="10001" width="18.33203125" style="6" bestFit="1" customWidth="1"/>
    <col min="10002" max="10243" width="13.5546875" style="6"/>
    <col min="10244" max="10244" width="5" style="6" customWidth="1"/>
    <col min="10245" max="10245" width="13" style="6" bestFit="1" customWidth="1"/>
    <col min="10246" max="10246" width="11.6640625" style="6" bestFit="1" customWidth="1"/>
    <col min="10247" max="10247" width="13.5546875" style="6" customWidth="1"/>
    <col min="10248" max="10248" width="12.109375" style="6" bestFit="1" customWidth="1"/>
    <col min="10249" max="10249" width="11.33203125" style="6" customWidth="1"/>
    <col min="10250" max="10250" width="8.109375" style="6" customWidth="1"/>
    <col min="10251" max="10251" width="9.109375" style="6" customWidth="1"/>
    <col min="10252" max="10252" width="7" style="6" customWidth="1"/>
    <col min="10253" max="10253" width="13.6640625" style="6" customWidth="1"/>
    <col min="10254" max="10254" width="11.6640625" style="6" bestFit="1" customWidth="1"/>
    <col min="10255" max="10255" width="13.5546875" style="6"/>
    <col min="10256" max="10256" width="15.109375" style="6" bestFit="1" customWidth="1"/>
    <col min="10257" max="10257" width="18.33203125" style="6" bestFit="1" customWidth="1"/>
    <col min="10258" max="10499" width="13.5546875" style="6"/>
    <col min="10500" max="10500" width="5" style="6" customWidth="1"/>
    <col min="10501" max="10501" width="13" style="6" bestFit="1" customWidth="1"/>
    <col min="10502" max="10502" width="11.6640625" style="6" bestFit="1" customWidth="1"/>
    <col min="10503" max="10503" width="13.5546875" style="6" customWidth="1"/>
    <col min="10504" max="10504" width="12.109375" style="6" bestFit="1" customWidth="1"/>
    <col min="10505" max="10505" width="11.33203125" style="6" customWidth="1"/>
    <col min="10506" max="10506" width="8.109375" style="6" customWidth="1"/>
    <col min="10507" max="10507" width="9.109375" style="6" customWidth="1"/>
    <col min="10508" max="10508" width="7" style="6" customWidth="1"/>
    <col min="10509" max="10509" width="13.6640625" style="6" customWidth="1"/>
    <col min="10510" max="10510" width="11.6640625" style="6" bestFit="1" customWidth="1"/>
    <col min="10511" max="10511" width="13.5546875" style="6"/>
    <col min="10512" max="10512" width="15.109375" style="6" bestFit="1" customWidth="1"/>
    <col min="10513" max="10513" width="18.33203125" style="6" bestFit="1" customWidth="1"/>
    <col min="10514" max="10755" width="13.5546875" style="6"/>
    <col min="10756" max="10756" width="5" style="6" customWidth="1"/>
    <col min="10757" max="10757" width="13" style="6" bestFit="1" customWidth="1"/>
    <col min="10758" max="10758" width="11.6640625" style="6" bestFit="1" customWidth="1"/>
    <col min="10759" max="10759" width="13.5546875" style="6" customWidth="1"/>
    <col min="10760" max="10760" width="12.109375" style="6" bestFit="1" customWidth="1"/>
    <col min="10761" max="10761" width="11.33203125" style="6" customWidth="1"/>
    <col min="10762" max="10762" width="8.109375" style="6" customWidth="1"/>
    <col min="10763" max="10763" width="9.109375" style="6" customWidth="1"/>
    <col min="10764" max="10764" width="7" style="6" customWidth="1"/>
    <col min="10765" max="10765" width="13.6640625" style="6" customWidth="1"/>
    <col min="10766" max="10766" width="11.6640625" style="6" bestFit="1" customWidth="1"/>
    <col min="10767" max="10767" width="13.5546875" style="6"/>
    <col min="10768" max="10768" width="15.109375" style="6" bestFit="1" customWidth="1"/>
    <col min="10769" max="10769" width="18.33203125" style="6" bestFit="1" customWidth="1"/>
    <col min="10770" max="11011" width="13.5546875" style="6"/>
    <col min="11012" max="11012" width="5" style="6" customWidth="1"/>
    <col min="11013" max="11013" width="13" style="6" bestFit="1" customWidth="1"/>
    <col min="11014" max="11014" width="11.6640625" style="6" bestFit="1" customWidth="1"/>
    <col min="11015" max="11015" width="13.5546875" style="6" customWidth="1"/>
    <col min="11016" max="11016" width="12.109375" style="6" bestFit="1" customWidth="1"/>
    <col min="11017" max="11017" width="11.33203125" style="6" customWidth="1"/>
    <col min="11018" max="11018" width="8.109375" style="6" customWidth="1"/>
    <col min="11019" max="11019" width="9.109375" style="6" customWidth="1"/>
    <col min="11020" max="11020" width="7" style="6" customWidth="1"/>
    <col min="11021" max="11021" width="13.6640625" style="6" customWidth="1"/>
    <col min="11022" max="11022" width="11.6640625" style="6" bestFit="1" customWidth="1"/>
    <col min="11023" max="11023" width="13.5546875" style="6"/>
    <col min="11024" max="11024" width="15.109375" style="6" bestFit="1" customWidth="1"/>
    <col min="11025" max="11025" width="18.33203125" style="6" bestFit="1" customWidth="1"/>
    <col min="11026" max="11267" width="13.5546875" style="6"/>
    <col min="11268" max="11268" width="5" style="6" customWidth="1"/>
    <col min="11269" max="11269" width="13" style="6" bestFit="1" customWidth="1"/>
    <col min="11270" max="11270" width="11.6640625" style="6" bestFit="1" customWidth="1"/>
    <col min="11271" max="11271" width="13.5546875" style="6" customWidth="1"/>
    <col min="11272" max="11272" width="12.109375" style="6" bestFit="1" customWidth="1"/>
    <col min="11273" max="11273" width="11.33203125" style="6" customWidth="1"/>
    <col min="11274" max="11274" width="8.109375" style="6" customWidth="1"/>
    <col min="11275" max="11275" width="9.109375" style="6" customWidth="1"/>
    <col min="11276" max="11276" width="7" style="6" customWidth="1"/>
    <col min="11277" max="11277" width="13.6640625" style="6" customWidth="1"/>
    <col min="11278" max="11278" width="11.6640625" style="6" bestFit="1" customWidth="1"/>
    <col min="11279" max="11279" width="13.5546875" style="6"/>
    <col min="11280" max="11280" width="15.109375" style="6" bestFit="1" customWidth="1"/>
    <col min="11281" max="11281" width="18.33203125" style="6" bestFit="1" customWidth="1"/>
    <col min="11282" max="11523" width="13.5546875" style="6"/>
    <col min="11524" max="11524" width="5" style="6" customWidth="1"/>
    <col min="11525" max="11525" width="13" style="6" bestFit="1" customWidth="1"/>
    <col min="11526" max="11526" width="11.6640625" style="6" bestFit="1" customWidth="1"/>
    <col min="11527" max="11527" width="13.5546875" style="6" customWidth="1"/>
    <col min="11528" max="11528" width="12.109375" style="6" bestFit="1" customWidth="1"/>
    <col min="11529" max="11529" width="11.33203125" style="6" customWidth="1"/>
    <col min="11530" max="11530" width="8.109375" style="6" customWidth="1"/>
    <col min="11531" max="11531" width="9.109375" style="6" customWidth="1"/>
    <col min="11532" max="11532" width="7" style="6" customWidth="1"/>
    <col min="11533" max="11533" width="13.6640625" style="6" customWidth="1"/>
    <col min="11534" max="11534" width="11.6640625" style="6" bestFit="1" customWidth="1"/>
    <col min="11535" max="11535" width="13.5546875" style="6"/>
    <col min="11536" max="11536" width="15.109375" style="6" bestFit="1" customWidth="1"/>
    <col min="11537" max="11537" width="18.33203125" style="6" bestFit="1" customWidth="1"/>
    <col min="11538" max="11779" width="13.5546875" style="6"/>
    <col min="11780" max="11780" width="5" style="6" customWidth="1"/>
    <col min="11781" max="11781" width="13" style="6" bestFit="1" customWidth="1"/>
    <col min="11782" max="11782" width="11.6640625" style="6" bestFit="1" customWidth="1"/>
    <col min="11783" max="11783" width="13.5546875" style="6" customWidth="1"/>
    <col min="11784" max="11784" width="12.109375" style="6" bestFit="1" customWidth="1"/>
    <col min="11785" max="11785" width="11.33203125" style="6" customWidth="1"/>
    <col min="11786" max="11786" width="8.109375" style="6" customWidth="1"/>
    <col min="11787" max="11787" width="9.109375" style="6" customWidth="1"/>
    <col min="11788" max="11788" width="7" style="6" customWidth="1"/>
    <col min="11789" max="11789" width="13.6640625" style="6" customWidth="1"/>
    <col min="11790" max="11790" width="11.6640625" style="6" bestFit="1" customWidth="1"/>
    <col min="11791" max="11791" width="13.5546875" style="6"/>
    <col min="11792" max="11792" width="15.109375" style="6" bestFit="1" customWidth="1"/>
    <col min="11793" max="11793" width="18.33203125" style="6" bestFit="1" customWidth="1"/>
    <col min="11794" max="12035" width="13.5546875" style="6"/>
    <col min="12036" max="12036" width="5" style="6" customWidth="1"/>
    <col min="12037" max="12037" width="13" style="6" bestFit="1" customWidth="1"/>
    <col min="12038" max="12038" width="11.6640625" style="6" bestFit="1" customWidth="1"/>
    <col min="12039" max="12039" width="13.5546875" style="6" customWidth="1"/>
    <col min="12040" max="12040" width="12.109375" style="6" bestFit="1" customWidth="1"/>
    <col min="12041" max="12041" width="11.33203125" style="6" customWidth="1"/>
    <col min="12042" max="12042" width="8.109375" style="6" customWidth="1"/>
    <col min="12043" max="12043" width="9.109375" style="6" customWidth="1"/>
    <col min="12044" max="12044" width="7" style="6" customWidth="1"/>
    <col min="12045" max="12045" width="13.6640625" style="6" customWidth="1"/>
    <col min="12046" max="12046" width="11.6640625" style="6" bestFit="1" customWidth="1"/>
    <col min="12047" max="12047" width="13.5546875" style="6"/>
    <col min="12048" max="12048" width="15.109375" style="6" bestFit="1" customWidth="1"/>
    <col min="12049" max="12049" width="18.33203125" style="6" bestFit="1" customWidth="1"/>
    <col min="12050" max="12291" width="13.5546875" style="6"/>
    <col min="12292" max="12292" width="5" style="6" customWidth="1"/>
    <col min="12293" max="12293" width="13" style="6" bestFit="1" customWidth="1"/>
    <col min="12294" max="12294" width="11.6640625" style="6" bestFit="1" customWidth="1"/>
    <col min="12295" max="12295" width="13.5546875" style="6" customWidth="1"/>
    <col min="12296" max="12296" width="12.109375" style="6" bestFit="1" customWidth="1"/>
    <col min="12297" max="12297" width="11.33203125" style="6" customWidth="1"/>
    <col min="12298" max="12298" width="8.109375" style="6" customWidth="1"/>
    <col min="12299" max="12299" width="9.109375" style="6" customWidth="1"/>
    <col min="12300" max="12300" width="7" style="6" customWidth="1"/>
    <col min="12301" max="12301" width="13.6640625" style="6" customWidth="1"/>
    <col min="12302" max="12302" width="11.6640625" style="6" bestFit="1" customWidth="1"/>
    <col min="12303" max="12303" width="13.5546875" style="6"/>
    <col min="12304" max="12304" width="15.109375" style="6" bestFit="1" customWidth="1"/>
    <col min="12305" max="12305" width="18.33203125" style="6" bestFit="1" customWidth="1"/>
    <col min="12306" max="12547" width="13.5546875" style="6"/>
    <col min="12548" max="12548" width="5" style="6" customWidth="1"/>
    <col min="12549" max="12549" width="13" style="6" bestFit="1" customWidth="1"/>
    <col min="12550" max="12550" width="11.6640625" style="6" bestFit="1" customWidth="1"/>
    <col min="12551" max="12551" width="13.5546875" style="6" customWidth="1"/>
    <col min="12552" max="12552" width="12.109375" style="6" bestFit="1" customWidth="1"/>
    <col min="12553" max="12553" width="11.33203125" style="6" customWidth="1"/>
    <col min="12554" max="12554" width="8.109375" style="6" customWidth="1"/>
    <col min="12555" max="12555" width="9.109375" style="6" customWidth="1"/>
    <col min="12556" max="12556" width="7" style="6" customWidth="1"/>
    <col min="12557" max="12557" width="13.6640625" style="6" customWidth="1"/>
    <col min="12558" max="12558" width="11.6640625" style="6" bestFit="1" customWidth="1"/>
    <col min="12559" max="12559" width="13.5546875" style="6"/>
    <col min="12560" max="12560" width="15.109375" style="6" bestFit="1" customWidth="1"/>
    <col min="12561" max="12561" width="18.33203125" style="6" bestFit="1" customWidth="1"/>
    <col min="12562" max="12803" width="13.5546875" style="6"/>
    <col min="12804" max="12804" width="5" style="6" customWidth="1"/>
    <col min="12805" max="12805" width="13" style="6" bestFit="1" customWidth="1"/>
    <col min="12806" max="12806" width="11.6640625" style="6" bestFit="1" customWidth="1"/>
    <col min="12807" max="12807" width="13.5546875" style="6" customWidth="1"/>
    <col min="12808" max="12808" width="12.109375" style="6" bestFit="1" customWidth="1"/>
    <col min="12809" max="12809" width="11.33203125" style="6" customWidth="1"/>
    <col min="12810" max="12810" width="8.109375" style="6" customWidth="1"/>
    <col min="12811" max="12811" width="9.109375" style="6" customWidth="1"/>
    <col min="12812" max="12812" width="7" style="6" customWidth="1"/>
    <col min="12813" max="12813" width="13.6640625" style="6" customWidth="1"/>
    <col min="12814" max="12814" width="11.6640625" style="6" bestFit="1" customWidth="1"/>
    <col min="12815" max="12815" width="13.5546875" style="6"/>
    <col min="12816" max="12816" width="15.109375" style="6" bestFit="1" customWidth="1"/>
    <col min="12817" max="12817" width="18.33203125" style="6" bestFit="1" customWidth="1"/>
    <col min="12818" max="13059" width="13.5546875" style="6"/>
    <col min="13060" max="13060" width="5" style="6" customWidth="1"/>
    <col min="13061" max="13061" width="13" style="6" bestFit="1" customWidth="1"/>
    <col min="13062" max="13062" width="11.6640625" style="6" bestFit="1" customWidth="1"/>
    <col min="13063" max="13063" width="13.5546875" style="6" customWidth="1"/>
    <col min="13064" max="13064" width="12.109375" style="6" bestFit="1" customWidth="1"/>
    <col min="13065" max="13065" width="11.33203125" style="6" customWidth="1"/>
    <col min="13066" max="13066" width="8.109375" style="6" customWidth="1"/>
    <col min="13067" max="13067" width="9.109375" style="6" customWidth="1"/>
    <col min="13068" max="13068" width="7" style="6" customWidth="1"/>
    <col min="13069" max="13069" width="13.6640625" style="6" customWidth="1"/>
    <col min="13070" max="13070" width="11.6640625" style="6" bestFit="1" customWidth="1"/>
    <col min="13071" max="13071" width="13.5546875" style="6"/>
    <col min="13072" max="13072" width="15.109375" style="6" bestFit="1" customWidth="1"/>
    <col min="13073" max="13073" width="18.33203125" style="6" bestFit="1" customWidth="1"/>
    <col min="13074" max="13315" width="13.5546875" style="6"/>
    <col min="13316" max="13316" width="5" style="6" customWidth="1"/>
    <col min="13317" max="13317" width="13" style="6" bestFit="1" customWidth="1"/>
    <col min="13318" max="13318" width="11.6640625" style="6" bestFit="1" customWidth="1"/>
    <col min="13319" max="13319" width="13.5546875" style="6" customWidth="1"/>
    <col min="13320" max="13320" width="12.109375" style="6" bestFit="1" customWidth="1"/>
    <col min="13321" max="13321" width="11.33203125" style="6" customWidth="1"/>
    <col min="13322" max="13322" width="8.109375" style="6" customWidth="1"/>
    <col min="13323" max="13323" width="9.109375" style="6" customWidth="1"/>
    <col min="13324" max="13324" width="7" style="6" customWidth="1"/>
    <col min="13325" max="13325" width="13.6640625" style="6" customWidth="1"/>
    <col min="13326" max="13326" width="11.6640625" style="6" bestFit="1" customWidth="1"/>
    <col min="13327" max="13327" width="13.5546875" style="6"/>
    <col min="13328" max="13328" width="15.109375" style="6" bestFit="1" customWidth="1"/>
    <col min="13329" max="13329" width="18.33203125" style="6" bestFit="1" customWidth="1"/>
    <col min="13330" max="13571" width="13.5546875" style="6"/>
    <col min="13572" max="13572" width="5" style="6" customWidth="1"/>
    <col min="13573" max="13573" width="13" style="6" bestFit="1" customWidth="1"/>
    <col min="13574" max="13574" width="11.6640625" style="6" bestFit="1" customWidth="1"/>
    <col min="13575" max="13575" width="13.5546875" style="6" customWidth="1"/>
    <col min="13576" max="13576" width="12.109375" style="6" bestFit="1" customWidth="1"/>
    <col min="13577" max="13577" width="11.33203125" style="6" customWidth="1"/>
    <col min="13578" max="13578" width="8.109375" style="6" customWidth="1"/>
    <col min="13579" max="13579" width="9.109375" style="6" customWidth="1"/>
    <col min="13580" max="13580" width="7" style="6" customWidth="1"/>
    <col min="13581" max="13581" width="13.6640625" style="6" customWidth="1"/>
    <col min="13582" max="13582" width="11.6640625" style="6" bestFit="1" customWidth="1"/>
    <col min="13583" max="13583" width="13.5546875" style="6"/>
    <col min="13584" max="13584" width="15.109375" style="6" bestFit="1" customWidth="1"/>
    <col min="13585" max="13585" width="18.33203125" style="6" bestFit="1" customWidth="1"/>
    <col min="13586" max="13827" width="13.5546875" style="6"/>
    <col min="13828" max="13828" width="5" style="6" customWidth="1"/>
    <col min="13829" max="13829" width="13" style="6" bestFit="1" customWidth="1"/>
    <col min="13830" max="13830" width="11.6640625" style="6" bestFit="1" customWidth="1"/>
    <col min="13831" max="13831" width="13.5546875" style="6" customWidth="1"/>
    <col min="13832" max="13832" width="12.109375" style="6" bestFit="1" customWidth="1"/>
    <col min="13833" max="13833" width="11.33203125" style="6" customWidth="1"/>
    <col min="13834" max="13834" width="8.109375" style="6" customWidth="1"/>
    <col min="13835" max="13835" width="9.109375" style="6" customWidth="1"/>
    <col min="13836" max="13836" width="7" style="6" customWidth="1"/>
    <col min="13837" max="13837" width="13.6640625" style="6" customWidth="1"/>
    <col min="13838" max="13838" width="11.6640625" style="6" bestFit="1" customWidth="1"/>
    <col min="13839" max="13839" width="13.5546875" style="6"/>
    <col min="13840" max="13840" width="15.109375" style="6" bestFit="1" customWidth="1"/>
    <col min="13841" max="13841" width="18.33203125" style="6" bestFit="1" customWidth="1"/>
    <col min="13842" max="14083" width="13.5546875" style="6"/>
    <col min="14084" max="14084" width="5" style="6" customWidth="1"/>
    <col min="14085" max="14085" width="13" style="6" bestFit="1" customWidth="1"/>
    <col min="14086" max="14086" width="11.6640625" style="6" bestFit="1" customWidth="1"/>
    <col min="14087" max="14087" width="13.5546875" style="6" customWidth="1"/>
    <col min="14088" max="14088" width="12.109375" style="6" bestFit="1" customWidth="1"/>
    <col min="14089" max="14089" width="11.33203125" style="6" customWidth="1"/>
    <col min="14090" max="14090" width="8.109375" style="6" customWidth="1"/>
    <col min="14091" max="14091" width="9.109375" style="6" customWidth="1"/>
    <col min="14092" max="14092" width="7" style="6" customWidth="1"/>
    <col min="14093" max="14093" width="13.6640625" style="6" customWidth="1"/>
    <col min="14094" max="14094" width="11.6640625" style="6" bestFit="1" customWidth="1"/>
    <col min="14095" max="14095" width="13.5546875" style="6"/>
    <col min="14096" max="14096" width="15.109375" style="6" bestFit="1" customWidth="1"/>
    <col min="14097" max="14097" width="18.33203125" style="6" bestFit="1" customWidth="1"/>
    <col min="14098" max="14339" width="13.5546875" style="6"/>
    <col min="14340" max="14340" width="5" style="6" customWidth="1"/>
    <col min="14341" max="14341" width="13" style="6" bestFit="1" customWidth="1"/>
    <col min="14342" max="14342" width="11.6640625" style="6" bestFit="1" customWidth="1"/>
    <col min="14343" max="14343" width="13.5546875" style="6" customWidth="1"/>
    <col min="14344" max="14344" width="12.109375" style="6" bestFit="1" customWidth="1"/>
    <col min="14345" max="14345" width="11.33203125" style="6" customWidth="1"/>
    <col min="14346" max="14346" width="8.109375" style="6" customWidth="1"/>
    <col min="14347" max="14347" width="9.109375" style="6" customWidth="1"/>
    <col min="14348" max="14348" width="7" style="6" customWidth="1"/>
    <col min="14349" max="14349" width="13.6640625" style="6" customWidth="1"/>
    <col min="14350" max="14350" width="11.6640625" style="6" bestFit="1" customWidth="1"/>
    <col min="14351" max="14351" width="13.5546875" style="6"/>
    <col min="14352" max="14352" width="15.109375" style="6" bestFit="1" customWidth="1"/>
    <col min="14353" max="14353" width="18.33203125" style="6" bestFit="1" customWidth="1"/>
    <col min="14354" max="14595" width="13.5546875" style="6"/>
    <col min="14596" max="14596" width="5" style="6" customWidth="1"/>
    <col min="14597" max="14597" width="13" style="6" bestFit="1" customWidth="1"/>
    <col min="14598" max="14598" width="11.6640625" style="6" bestFit="1" customWidth="1"/>
    <col min="14599" max="14599" width="13.5546875" style="6" customWidth="1"/>
    <col min="14600" max="14600" width="12.109375" style="6" bestFit="1" customWidth="1"/>
    <col min="14601" max="14601" width="11.33203125" style="6" customWidth="1"/>
    <col min="14602" max="14602" width="8.109375" style="6" customWidth="1"/>
    <col min="14603" max="14603" width="9.109375" style="6" customWidth="1"/>
    <col min="14604" max="14604" width="7" style="6" customWidth="1"/>
    <col min="14605" max="14605" width="13.6640625" style="6" customWidth="1"/>
    <col min="14606" max="14606" width="11.6640625" style="6" bestFit="1" customWidth="1"/>
    <col min="14607" max="14607" width="13.5546875" style="6"/>
    <col min="14608" max="14608" width="15.109375" style="6" bestFit="1" customWidth="1"/>
    <col min="14609" max="14609" width="18.33203125" style="6" bestFit="1" customWidth="1"/>
    <col min="14610" max="14851" width="13.5546875" style="6"/>
    <col min="14852" max="14852" width="5" style="6" customWidth="1"/>
    <col min="14853" max="14853" width="13" style="6" bestFit="1" customWidth="1"/>
    <col min="14854" max="14854" width="11.6640625" style="6" bestFit="1" customWidth="1"/>
    <col min="14855" max="14855" width="13.5546875" style="6" customWidth="1"/>
    <col min="14856" max="14856" width="12.109375" style="6" bestFit="1" customWidth="1"/>
    <col min="14857" max="14857" width="11.33203125" style="6" customWidth="1"/>
    <col min="14858" max="14858" width="8.109375" style="6" customWidth="1"/>
    <col min="14859" max="14859" width="9.109375" style="6" customWidth="1"/>
    <col min="14860" max="14860" width="7" style="6" customWidth="1"/>
    <col min="14861" max="14861" width="13.6640625" style="6" customWidth="1"/>
    <col min="14862" max="14862" width="11.6640625" style="6" bestFit="1" customWidth="1"/>
    <col min="14863" max="14863" width="13.5546875" style="6"/>
    <col min="14864" max="14864" width="15.109375" style="6" bestFit="1" customWidth="1"/>
    <col min="14865" max="14865" width="18.33203125" style="6" bestFit="1" customWidth="1"/>
    <col min="14866" max="15107" width="13.5546875" style="6"/>
    <col min="15108" max="15108" width="5" style="6" customWidth="1"/>
    <col min="15109" max="15109" width="13" style="6" bestFit="1" customWidth="1"/>
    <col min="15110" max="15110" width="11.6640625" style="6" bestFit="1" customWidth="1"/>
    <col min="15111" max="15111" width="13.5546875" style="6" customWidth="1"/>
    <col min="15112" max="15112" width="12.109375" style="6" bestFit="1" customWidth="1"/>
    <col min="15113" max="15113" width="11.33203125" style="6" customWidth="1"/>
    <col min="15114" max="15114" width="8.109375" style="6" customWidth="1"/>
    <col min="15115" max="15115" width="9.109375" style="6" customWidth="1"/>
    <col min="15116" max="15116" width="7" style="6" customWidth="1"/>
    <col min="15117" max="15117" width="13.6640625" style="6" customWidth="1"/>
    <col min="15118" max="15118" width="11.6640625" style="6" bestFit="1" customWidth="1"/>
    <col min="15119" max="15119" width="13.5546875" style="6"/>
    <col min="15120" max="15120" width="15.109375" style="6" bestFit="1" customWidth="1"/>
    <col min="15121" max="15121" width="18.33203125" style="6" bestFit="1" customWidth="1"/>
    <col min="15122" max="15363" width="13.5546875" style="6"/>
    <col min="15364" max="15364" width="5" style="6" customWidth="1"/>
    <col min="15365" max="15365" width="13" style="6" bestFit="1" customWidth="1"/>
    <col min="15366" max="15366" width="11.6640625" style="6" bestFit="1" customWidth="1"/>
    <col min="15367" max="15367" width="13.5546875" style="6" customWidth="1"/>
    <col min="15368" max="15368" width="12.109375" style="6" bestFit="1" customWidth="1"/>
    <col min="15369" max="15369" width="11.33203125" style="6" customWidth="1"/>
    <col min="15370" max="15370" width="8.109375" style="6" customWidth="1"/>
    <col min="15371" max="15371" width="9.109375" style="6" customWidth="1"/>
    <col min="15372" max="15372" width="7" style="6" customWidth="1"/>
    <col min="15373" max="15373" width="13.6640625" style="6" customWidth="1"/>
    <col min="15374" max="15374" width="11.6640625" style="6" bestFit="1" customWidth="1"/>
    <col min="15375" max="15375" width="13.5546875" style="6"/>
    <col min="15376" max="15376" width="15.109375" style="6" bestFit="1" customWidth="1"/>
    <col min="15377" max="15377" width="18.33203125" style="6" bestFit="1" customWidth="1"/>
    <col min="15378" max="15619" width="13.5546875" style="6"/>
    <col min="15620" max="15620" width="5" style="6" customWidth="1"/>
    <col min="15621" max="15621" width="13" style="6" bestFit="1" customWidth="1"/>
    <col min="15622" max="15622" width="11.6640625" style="6" bestFit="1" customWidth="1"/>
    <col min="15623" max="15623" width="13.5546875" style="6" customWidth="1"/>
    <col min="15624" max="15624" width="12.109375" style="6" bestFit="1" customWidth="1"/>
    <col min="15625" max="15625" width="11.33203125" style="6" customWidth="1"/>
    <col min="15626" max="15626" width="8.109375" style="6" customWidth="1"/>
    <col min="15627" max="15627" width="9.109375" style="6" customWidth="1"/>
    <col min="15628" max="15628" width="7" style="6" customWidth="1"/>
    <col min="15629" max="15629" width="13.6640625" style="6" customWidth="1"/>
    <col min="15630" max="15630" width="11.6640625" style="6" bestFit="1" customWidth="1"/>
    <col min="15631" max="15631" width="13.5546875" style="6"/>
    <col min="15632" max="15632" width="15.109375" style="6" bestFit="1" customWidth="1"/>
    <col min="15633" max="15633" width="18.33203125" style="6" bestFit="1" customWidth="1"/>
    <col min="15634" max="15875" width="13.5546875" style="6"/>
    <col min="15876" max="15876" width="5" style="6" customWidth="1"/>
    <col min="15877" max="15877" width="13" style="6" bestFit="1" customWidth="1"/>
    <col min="15878" max="15878" width="11.6640625" style="6" bestFit="1" customWidth="1"/>
    <col min="15879" max="15879" width="13.5546875" style="6" customWidth="1"/>
    <col min="15880" max="15880" width="12.109375" style="6" bestFit="1" customWidth="1"/>
    <col min="15881" max="15881" width="11.33203125" style="6" customWidth="1"/>
    <col min="15882" max="15882" width="8.109375" style="6" customWidth="1"/>
    <col min="15883" max="15883" width="9.109375" style="6" customWidth="1"/>
    <col min="15884" max="15884" width="7" style="6" customWidth="1"/>
    <col min="15885" max="15885" width="13.6640625" style="6" customWidth="1"/>
    <col min="15886" max="15886" width="11.6640625" style="6" bestFit="1" customWidth="1"/>
    <col min="15887" max="15887" width="13.5546875" style="6"/>
    <col min="15888" max="15888" width="15.109375" style="6" bestFit="1" customWidth="1"/>
    <col min="15889" max="15889" width="18.33203125" style="6" bestFit="1" customWidth="1"/>
    <col min="15890" max="16131" width="13.5546875" style="6"/>
    <col min="16132" max="16132" width="5" style="6" customWidth="1"/>
    <col min="16133" max="16133" width="13" style="6" bestFit="1" customWidth="1"/>
    <col min="16134" max="16134" width="11.6640625" style="6" bestFit="1" customWidth="1"/>
    <col min="16135" max="16135" width="13.5546875" style="6" customWidth="1"/>
    <col min="16136" max="16136" width="12.109375" style="6" bestFit="1" customWidth="1"/>
    <col min="16137" max="16137" width="11.33203125" style="6" customWidth="1"/>
    <col min="16138" max="16138" width="8.109375" style="6" customWidth="1"/>
    <col min="16139" max="16139" width="9.109375" style="6" customWidth="1"/>
    <col min="16140" max="16140" width="7" style="6" customWidth="1"/>
    <col min="16141" max="16141" width="13.6640625" style="6" customWidth="1"/>
    <col min="16142" max="16142" width="11.6640625" style="6" bestFit="1" customWidth="1"/>
    <col min="16143" max="16143" width="13.5546875" style="6"/>
    <col min="16144" max="16144" width="15.109375" style="6" bestFit="1" customWidth="1"/>
    <col min="16145" max="16145" width="18.33203125" style="6" bestFit="1" customWidth="1"/>
    <col min="16146" max="16384" width="13.5546875" style="6"/>
  </cols>
  <sheetData>
    <row r="1" spans="2:24" ht="19.95" customHeight="1" x14ac:dyDescent="0.25">
      <c r="B1" s="583" t="s">
        <v>449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</row>
    <row r="2" spans="2:24" x14ac:dyDescent="0.25">
      <c r="D2" s="436"/>
    </row>
    <row r="3" spans="2:24" x14ac:dyDescent="0.25">
      <c r="B3" s="11" t="s">
        <v>105</v>
      </c>
      <c r="C3" s="73" t="s">
        <v>31</v>
      </c>
      <c r="D3" s="440">
        <v>0.1</v>
      </c>
    </row>
    <row r="4" spans="2:24" x14ac:dyDescent="0.25">
      <c r="M4" s="13"/>
      <c r="N4" s="13"/>
      <c r="O4" s="13"/>
      <c r="P4" s="13"/>
      <c r="Q4" s="13"/>
      <c r="R4" s="13"/>
      <c r="S4" s="13"/>
    </row>
    <row r="5" spans="2:24" x14ac:dyDescent="0.25">
      <c r="C5" s="168" t="s">
        <v>335</v>
      </c>
      <c r="D5" s="442"/>
      <c r="E5" s="442"/>
      <c r="F5" s="442"/>
      <c r="G5" s="442"/>
      <c r="H5" s="442"/>
      <c r="I5" s="442"/>
      <c r="J5" s="443"/>
      <c r="M5" s="13"/>
      <c r="N5" s="13"/>
      <c r="O5" s="13"/>
      <c r="P5" s="13"/>
      <c r="Q5" s="13"/>
      <c r="R5" s="13"/>
      <c r="S5" s="13"/>
    </row>
    <row r="6" spans="2:24" x14ac:dyDescent="0.25">
      <c r="C6" s="444" t="s">
        <v>34</v>
      </c>
      <c r="D6" s="177"/>
      <c r="E6" s="177"/>
      <c r="F6" s="177"/>
      <c r="G6" s="177"/>
      <c r="H6" s="177"/>
      <c r="I6" s="445" t="s">
        <v>39</v>
      </c>
      <c r="J6" s="446" t="s">
        <v>40</v>
      </c>
      <c r="M6" s="13"/>
      <c r="N6" s="13"/>
      <c r="O6" s="13"/>
      <c r="P6" s="13"/>
      <c r="Q6" s="13"/>
      <c r="R6" s="13"/>
      <c r="S6" s="13"/>
    </row>
    <row r="7" spans="2:24" x14ac:dyDescent="0.25">
      <c r="C7" s="79"/>
      <c r="D7" s="177"/>
      <c r="E7" s="177"/>
      <c r="F7" s="177"/>
      <c r="G7" s="177"/>
      <c r="H7" s="177"/>
      <c r="I7" s="177"/>
      <c r="J7" s="178"/>
      <c r="L7" s="11"/>
      <c r="M7" s="13"/>
      <c r="N7" s="139"/>
      <c r="O7" s="139"/>
      <c r="P7" s="139"/>
      <c r="Q7" s="139"/>
      <c r="R7" s="139"/>
      <c r="S7" s="14"/>
    </row>
    <row r="8" spans="2:24" x14ac:dyDescent="0.25">
      <c r="C8" s="79"/>
      <c r="D8" s="177"/>
      <c r="E8" s="177"/>
      <c r="F8" s="177"/>
      <c r="G8" s="177"/>
      <c r="H8" s="447" t="s">
        <v>330</v>
      </c>
      <c r="I8" s="177">
        <v>200</v>
      </c>
      <c r="J8" s="178">
        <v>250</v>
      </c>
      <c r="M8" s="13"/>
      <c r="N8" s="437"/>
      <c r="O8" s="438"/>
      <c r="P8" s="139"/>
      <c r="Q8" s="438"/>
      <c r="R8" s="139"/>
      <c r="S8" s="13"/>
    </row>
    <row r="9" spans="2:24" x14ac:dyDescent="0.25">
      <c r="C9" s="79"/>
      <c r="D9" s="177"/>
      <c r="E9" s="177"/>
      <c r="F9" s="177" t="s">
        <v>328</v>
      </c>
      <c r="G9" s="177"/>
      <c r="H9" s="177"/>
      <c r="I9" s="177"/>
      <c r="J9" s="178"/>
      <c r="M9" s="13"/>
      <c r="N9" s="13"/>
      <c r="O9" s="13"/>
      <c r="P9" s="13"/>
      <c r="Q9" s="13"/>
      <c r="R9" s="139"/>
      <c r="S9" s="13"/>
    </row>
    <row r="10" spans="2:24" x14ac:dyDescent="0.25">
      <c r="C10" s="79"/>
      <c r="D10" s="177"/>
      <c r="E10" s="177"/>
      <c r="F10" s="177"/>
      <c r="G10" s="177"/>
      <c r="H10" s="177"/>
      <c r="I10" s="177"/>
      <c r="J10" s="178"/>
      <c r="M10" s="13"/>
      <c r="N10" s="139"/>
      <c r="O10" s="139"/>
      <c r="P10" s="139"/>
      <c r="Q10" s="139"/>
      <c r="R10" s="139"/>
      <c r="S10" s="13"/>
    </row>
    <row r="11" spans="2:24" x14ac:dyDescent="0.25">
      <c r="C11" s="79"/>
      <c r="D11" s="177"/>
      <c r="E11" s="177"/>
      <c r="F11" s="372">
        <v>0.3</v>
      </c>
      <c r="G11" s="177"/>
      <c r="H11" s="177"/>
      <c r="I11" s="177">
        <v>200</v>
      </c>
      <c r="J11" s="178">
        <v>120</v>
      </c>
      <c r="M11" s="13"/>
      <c r="N11" s="437"/>
      <c r="O11" s="438"/>
      <c r="P11" s="139"/>
      <c r="Q11" s="438"/>
      <c r="R11" s="139"/>
      <c r="S11" s="13"/>
    </row>
    <row r="12" spans="2:24" x14ac:dyDescent="0.25">
      <c r="C12" s="79"/>
      <c r="D12" s="177" t="s">
        <v>326</v>
      </c>
      <c r="E12" s="177"/>
      <c r="F12" s="177"/>
      <c r="G12" s="177"/>
      <c r="H12" s="177" t="s">
        <v>331</v>
      </c>
      <c r="I12" s="177"/>
      <c r="J12" s="178"/>
      <c r="M12" s="13"/>
      <c r="N12" s="13"/>
      <c r="O12" s="13"/>
      <c r="P12" s="13"/>
      <c r="Q12" s="13"/>
      <c r="R12" s="139"/>
      <c r="S12" s="13"/>
    </row>
    <row r="13" spans="2:24" x14ac:dyDescent="0.25">
      <c r="C13" s="79"/>
      <c r="D13" s="177"/>
      <c r="E13" s="184"/>
      <c r="F13" s="177"/>
      <c r="G13" s="177"/>
      <c r="H13" s="177"/>
      <c r="I13" s="177"/>
      <c r="J13" s="178"/>
      <c r="M13" s="13"/>
      <c r="N13" s="13"/>
      <c r="O13" s="13"/>
      <c r="P13" s="13"/>
      <c r="Q13" s="13"/>
      <c r="R13" s="139"/>
      <c r="S13" s="13"/>
    </row>
    <row r="14" spans="2:24" x14ac:dyDescent="0.25">
      <c r="C14" s="79"/>
      <c r="D14" s="177"/>
      <c r="E14" s="177"/>
      <c r="F14" s="177"/>
      <c r="G14" s="177"/>
      <c r="H14" s="177"/>
      <c r="I14" s="177"/>
      <c r="J14" s="178"/>
      <c r="M14" s="13"/>
      <c r="N14" s="13"/>
      <c r="O14" s="13"/>
      <c r="P14" s="13"/>
      <c r="Q14" s="13"/>
      <c r="R14" s="139"/>
      <c r="S14" s="13"/>
    </row>
    <row r="15" spans="2:24" x14ac:dyDescent="0.25">
      <c r="C15" s="79"/>
      <c r="D15" s="372">
        <v>0.6</v>
      </c>
      <c r="E15" s="177"/>
      <c r="F15" s="177"/>
      <c r="G15" s="177"/>
      <c r="H15" s="445" t="s">
        <v>39</v>
      </c>
      <c r="I15" s="445" t="s">
        <v>40</v>
      </c>
      <c r="J15" s="178"/>
      <c r="M15" s="13"/>
      <c r="N15" s="139"/>
      <c r="O15" s="139"/>
      <c r="P15" s="139"/>
      <c r="Q15" s="139"/>
      <c r="R15" s="139"/>
      <c r="S15" s="14"/>
    </row>
    <row r="16" spans="2:24" x14ac:dyDescent="0.25">
      <c r="C16" s="79"/>
      <c r="D16" s="177"/>
      <c r="E16" s="177"/>
      <c r="F16" s="372">
        <v>0.7</v>
      </c>
      <c r="G16" s="177"/>
      <c r="H16" s="177">
        <v>70</v>
      </c>
      <c r="I16" s="177">
        <v>100</v>
      </c>
      <c r="J16" s="178"/>
      <c r="M16" s="13"/>
      <c r="N16" s="437"/>
      <c r="O16" s="438"/>
      <c r="P16" s="139"/>
      <c r="Q16" s="438"/>
      <c r="R16" s="139"/>
      <c r="S16" s="13"/>
    </row>
    <row r="17" spans="3:19" x14ac:dyDescent="0.25">
      <c r="C17" s="79"/>
      <c r="D17" s="177"/>
      <c r="E17" s="177"/>
      <c r="F17" s="177"/>
      <c r="G17" s="177"/>
      <c r="H17" s="177"/>
      <c r="I17" s="177"/>
      <c r="J17" s="178"/>
      <c r="M17" s="13"/>
      <c r="N17" s="13"/>
      <c r="O17" s="13"/>
      <c r="P17" s="13"/>
      <c r="Q17" s="13"/>
      <c r="R17" s="139"/>
      <c r="S17" s="13"/>
    </row>
    <row r="18" spans="3:19" x14ac:dyDescent="0.25">
      <c r="C18" s="79"/>
      <c r="D18" s="177"/>
      <c r="E18" s="177"/>
      <c r="F18" s="177" t="s">
        <v>329</v>
      </c>
      <c r="G18" s="177"/>
      <c r="H18" s="177"/>
      <c r="I18" s="445" t="s">
        <v>39</v>
      </c>
      <c r="J18" s="446" t="s">
        <v>40</v>
      </c>
      <c r="M18" s="13"/>
      <c r="N18" s="13"/>
      <c r="O18" s="13"/>
      <c r="P18" s="13"/>
      <c r="Q18" s="13"/>
      <c r="R18" s="139"/>
      <c r="S18" s="13"/>
    </row>
    <row r="19" spans="3:19" x14ac:dyDescent="0.25">
      <c r="C19" s="79"/>
      <c r="D19" s="177"/>
      <c r="E19" s="177"/>
      <c r="F19" s="177"/>
      <c r="G19" s="177"/>
      <c r="H19" s="177"/>
      <c r="I19" s="177"/>
      <c r="J19" s="178"/>
      <c r="M19" s="13"/>
      <c r="N19" s="13"/>
      <c r="O19" s="139"/>
      <c r="P19" s="139"/>
      <c r="Q19" s="139"/>
      <c r="R19" s="139"/>
      <c r="S19" s="14"/>
    </row>
    <row r="20" spans="3:19" x14ac:dyDescent="0.25">
      <c r="C20" s="448">
        <v>-250</v>
      </c>
      <c r="D20" s="177"/>
      <c r="E20" s="177"/>
      <c r="F20" s="177"/>
      <c r="G20" s="177"/>
      <c r="H20" s="447" t="s">
        <v>330</v>
      </c>
      <c r="I20" s="177">
        <v>300</v>
      </c>
      <c r="J20" s="178">
        <v>400</v>
      </c>
      <c r="M20" s="13"/>
      <c r="N20" s="437"/>
      <c r="O20" s="438"/>
      <c r="P20" s="139"/>
      <c r="Q20" s="438"/>
      <c r="R20" s="139"/>
      <c r="S20" s="13"/>
    </row>
    <row r="21" spans="3:19" x14ac:dyDescent="0.25">
      <c r="C21" s="79"/>
      <c r="D21" s="177"/>
      <c r="E21" s="177"/>
      <c r="F21" s="177" t="s">
        <v>328</v>
      </c>
      <c r="G21" s="177"/>
      <c r="H21" s="177"/>
      <c r="I21" s="177"/>
      <c r="J21" s="178"/>
      <c r="M21" s="13"/>
      <c r="N21" s="13"/>
      <c r="O21" s="13"/>
      <c r="P21" s="13"/>
      <c r="Q21" s="13"/>
      <c r="R21" s="139"/>
      <c r="S21" s="13"/>
    </row>
    <row r="22" spans="3:19" x14ac:dyDescent="0.25">
      <c r="C22" s="79"/>
      <c r="D22" s="177"/>
      <c r="E22" s="177"/>
      <c r="F22" s="177"/>
      <c r="G22" s="177"/>
      <c r="H22" s="177"/>
      <c r="I22" s="177"/>
      <c r="J22" s="178"/>
      <c r="M22" s="13"/>
      <c r="N22" s="13"/>
      <c r="O22" s="139"/>
      <c r="P22" s="139"/>
      <c r="Q22" s="139"/>
      <c r="R22" s="139"/>
      <c r="S22" s="13"/>
    </row>
    <row r="23" spans="3:19" x14ac:dyDescent="0.25">
      <c r="C23" s="79"/>
      <c r="D23" s="372">
        <v>0.4</v>
      </c>
      <c r="E23" s="177"/>
      <c r="F23" s="372">
        <v>0.3</v>
      </c>
      <c r="G23" s="177"/>
      <c r="H23" s="177"/>
      <c r="I23" s="177">
        <v>300</v>
      </c>
      <c r="J23" s="178">
        <v>350</v>
      </c>
      <c r="M23" s="13"/>
      <c r="N23" s="437"/>
      <c r="O23" s="438"/>
      <c r="P23" s="139"/>
      <c r="Q23" s="438"/>
      <c r="R23" s="139"/>
      <c r="S23" s="13"/>
    </row>
    <row r="24" spans="3:19" x14ac:dyDescent="0.25">
      <c r="C24" s="79"/>
      <c r="D24" s="177"/>
      <c r="E24" s="177"/>
      <c r="F24" s="177"/>
      <c r="G24" s="177"/>
      <c r="H24" s="177" t="s">
        <v>331</v>
      </c>
      <c r="I24" s="177"/>
      <c r="J24" s="178"/>
      <c r="M24" s="13"/>
      <c r="N24" s="13"/>
      <c r="O24" s="13"/>
      <c r="P24" s="13"/>
      <c r="Q24" s="13"/>
      <c r="R24" s="139"/>
      <c r="S24" s="13"/>
    </row>
    <row r="25" spans="3:19" x14ac:dyDescent="0.25">
      <c r="C25" s="79"/>
      <c r="D25" s="177"/>
      <c r="E25" s="184"/>
      <c r="F25" s="177"/>
      <c r="G25" s="177"/>
      <c r="H25" s="177"/>
      <c r="I25" s="177"/>
      <c r="J25" s="178"/>
      <c r="M25" s="13"/>
      <c r="N25" s="13"/>
      <c r="O25" s="13"/>
      <c r="P25" s="13"/>
      <c r="Q25" s="13"/>
      <c r="R25" s="139"/>
      <c r="S25" s="13"/>
    </row>
    <row r="26" spans="3:19" x14ac:dyDescent="0.25">
      <c r="C26" s="79"/>
      <c r="D26" s="177" t="s">
        <v>327</v>
      </c>
      <c r="E26" s="177"/>
      <c r="F26" s="177"/>
      <c r="G26" s="177"/>
      <c r="H26" s="445" t="s">
        <v>39</v>
      </c>
      <c r="I26" s="445" t="s">
        <v>40</v>
      </c>
      <c r="J26" s="178"/>
      <c r="M26" s="13"/>
      <c r="N26" s="13"/>
      <c r="O26" s="139"/>
      <c r="P26" s="139"/>
      <c r="Q26" s="139"/>
      <c r="R26" s="139"/>
      <c r="S26" s="14"/>
    </row>
    <row r="27" spans="3:19" x14ac:dyDescent="0.25">
      <c r="C27" s="79"/>
      <c r="D27" s="177"/>
      <c r="E27" s="177"/>
      <c r="F27" s="372">
        <v>0.7</v>
      </c>
      <c r="G27" s="177"/>
      <c r="H27" s="177">
        <v>250</v>
      </c>
      <c r="I27" s="177">
        <v>300</v>
      </c>
      <c r="J27" s="178"/>
      <c r="M27" s="13"/>
      <c r="N27" s="437"/>
      <c r="O27" s="438"/>
      <c r="P27" s="139"/>
      <c r="Q27" s="438"/>
      <c r="R27" s="139"/>
      <c r="S27" s="13"/>
    </row>
    <row r="28" spans="3:19" x14ac:dyDescent="0.25">
      <c r="C28" s="79"/>
      <c r="D28" s="177"/>
      <c r="E28" s="177"/>
      <c r="F28" s="177"/>
      <c r="G28" s="177"/>
      <c r="H28" s="177"/>
      <c r="I28" s="177"/>
      <c r="J28" s="178"/>
      <c r="M28" s="13"/>
      <c r="N28" s="13"/>
      <c r="O28" s="13"/>
      <c r="P28" s="13"/>
      <c r="Q28" s="13"/>
      <c r="R28" s="139"/>
      <c r="S28" s="13"/>
    </row>
    <row r="29" spans="3:19" x14ac:dyDescent="0.25">
      <c r="C29" s="81"/>
      <c r="D29" s="179"/>
      <c r="E29" s="179"/>
      <c r="F29" s="179" t="s">
        <v>329</v>
      </c>
      <c r="G29" s="179"/>
      <c r="H29" s="179"/>
      <c r="I29" s="179"/>
      <c r="J29" s="180"/>
      <c r="M29" s="13"/>
      <c r="N29" s="13"/>
      <c r="O29" s="13"/>
      <c r="P29" s="13"/>
      <c r="Q29" s="13"/>
      <c r="R29" s="139"/>
      <c r="S29" s="13"/>
    </row>
    <row r="30" spans="3:19" x14ac:dyDescent="0.25">
      <c r="L30" s="461" t="s">
        <v>336</v>
      </c>
      <c r="M30" s="442"/>
      <c r="N30" s="442"/>
      <c r="O30" s="442"/>
      <c r="P30" s="442"/>
      <c r="Q30" s="442"/>
      <c r="R30" s="451"/>
      <c r="S30" s="443"/>
    </row>
    <row r="31" spans="3:19" x14ac:dyDescent="0.25">
      <c r="C31" s="168" t="s">
        <v>336</v>
      </c>
      <c r="D31" s="442"/>
      <c r="E31" s="442"/>
      <c r="F31" s="442"/>
      <c r="G31" s="442"/>
      <c r="H31" s="442"/>
      <c r="I31" s="442"/>
      <c r="J31" s="443"/>
      <c r="L31" s="79"/>
      <c r="M31" s="177"/>
      <c r="N31" s="177"/>
      <c r="O31" s="177"/>
      <c r="P31" s="177"/>
      <c r="Q31" s="177"/>
      <c r="R31" s="449"/>
      <c r="S31" s="178"/>
    </row>
    <row r="32" spans="3:19" x14ac:dyDescent="0.25">
      <c r="C32" s="444" t="s">
        <v>34</v>
      </c>
      <c r="D32" s="177"/>
      <c r="E32" s="177"/>
      <c r="F32" s="177"/>
      <c r="G32" s="177"/>
      <c r="H32" s="177"/>
      <c r="I32" s="445" t="s">
        <v>39</v>
      </c>
      <c r="J32" s="446" t="s">
        <v>40</v>
      </c>
      <c r="L32" s="79"/>
      <c r="M32" s="449" t="s">
        <v>235</v>
      </c>
      <c r="N32" s="177" t="s">
        <v>24</v>
      </c>
      <c r="O32" s="452">
        <v>200</v>
      </c>
      <c r="P32" s="449" t="s">
        <v>37</v>
      </c>
      <c r="Q32" s="452">
        <v>250</v>
      </c>
      <c r="R32" s="449" t="s">
        <v>24</v>
      </c>
      <c r="S32" s="178">
        <f>+O32/(1+D3)^1+Q32/(1+D3)^2</f>
        <v>388.42975206611567</v>
      </c>
    </row>
    <row r="33" spans="3:19" x14ac:dyDescent="0.25">
      <c r="C33" s="79"/>
      <c r="D33" s="177"/>
      <c r="E33" s="177"/>
      <c r="F33" s="177"/>
      <c r="G33" s="177"/>
      <c r="H33" s="177"/>
      <c r="I33" s="177"/>
      <c r="J33" s="178"/>
      <c r="L33" s="79"/>
      <c r="M33" s="177"/>
      <c r="N33" s="447" t="s">
        <v>330</v>
      </c>
      <c r="O33" s="453" t="s">
        <v>332</v>
      </c>
      <c r="P33" s="449"/>
      <c r="Q33" s="453" t="s">
        <v>333</v>
      </c>
      <c r="R33" s="449"/>
      <c r="S33" s="178"/>
    </row>
    <row r="34" spans="3:19" x14ac:dyDescent="0.25">
      <c r="C34" s="79"/>
      <c r="D34" s="177"/>
      <c r="E34" s="177"/>
      <c r="F34" s="177"/>
      <c r="G34" s="177"/>
      <c r="H34" s="447" t="s">
        <v>330</v>
      </c>
      <c r="I34" s="177">
        <v>200</v>
      </c>
      <c r="J34" s="178">
        <v>250</v>
      </c>
      <c r="L34" s="79"/>
      <c r="M34" s="177"/>
      <c r="N34" s="177"/>
      <c r="O34" s="177"/>
      <c r="P34" s="177"/>
      <c r="Q34" s="177"/>
      <c r="R34" s="449"/>
      <c r="S34" s="178"/>
    </row>
    <row r="35" spans="3:19" x14ac:dyDescent="0.25">
      <c r="C35" s="79"/>
      <c r="D35" s="177"/>
      <c r="E35" s="177"/>
      <c r="F35" s="177" t="s">
        <v>328</v>
      </c>
      <c r="G35" s="177"/>
      <c r="H35" s="177"/>
      <c r="I35" s="177"/>
      <c r="J35" s="178"/>
      <c r="L35" s="79"/>
      <c r="M35" s="456" t="s">
        <v>235</v>
      </c>
      <c r="N35" s="297" t="s">
        <v>24</v>
      </c>
      <c r="O35" s="457">
        <v>200</v>
      </c>
      <c r="P35" s="456" t="s">
        <v>37</v>
      </c>
      <c r="Q35" s="457">
        <v>120</v>
      </c>
      <c r="R35" s="456" t="s">
        <v>24</v>
      </c>
      <c r="S35" s="458">
        <f>+O35/(1+D3)^1+Q35/(1+D3)^2</f>
        <v>280.99173553719004</v>
      </c>
    </row>
    <row r="36" spans="3:19" ht="14.4" customHeight="1" x14ac:dyDescent="0.25">
      <c r="C36" s="79"/>
      <c r="D36" s="177"/>
      <c r="E36" s="177"/>
      <c r="F36" s="177"/>
      <c r="G36" s="177"/>
      <c r="H36" s="177"/>
      <c r="I36" s="177"/>
      <c r="J36" s="178"/>
      <c r="L36" s="633" t="s">
        <v>326</v>
      </c>
      <c r="M36" s="297"/>
      <c r="N36" s="459" t="s">
        <v>334</v>
      </c>
      <c r="O36" s="460" t="s">
        <v>332</v>
      </c>
      <c r="P36" s="456"/>
      <c r="Q36" s="460" t="s">
        <v>333</v>
      </c>
      <c r="R36" s="456"/>
      <c r="S36" s="303"/>
    </row>
    <row r="37" spans="3:19" x14ac:dyDescent="0.25">
      <c r="C37" s="79"/>
      <c r="D37" s="177"/>
      <c r="E37" s="177"/>
      <c r="F37" s="372">
        <v>0.3</v>
      </c>
      <c r="G37" s="177"/>
      <c r="H37" s="569"/>
      <c r="I37" s="570">
        <v>200</v>
      </c>
      <c r="J37" s="571">
        <v>120</v>
      </c>
      <c r="L37" s="633"/>
      <c r="M37" s="177"/>
      <c r="N37" s="177"/>
      <c r="O37" s="177"/>
      <c r="P37" s="177"/>
      <c r="Q37" s="177"/>
      <c r="R37" s="449"/>
      <c r="S37" s="178"/>
    </row>
    <row r="38" spans="3:19" x14ac:dyDescent="0.25">
      <c r="C38" s="79"/>
      <c r="D38" s="177" t="s">
        <v>326</v>
      </c>
      <c r="E38" s="177"/>
      <c r="F38" s="177"/>
      <c r="G38" s="177"/>
      <c r="H38" s="569" t="s">
        <v>331</v>
      </c>
      <c r="I38" s="569"/>
      <c r="J38" s="572"/>
      <c r="L38" s="79"/>
      <c r="M38" s="177"/>
      <c r="N38" s="177"/>
      <c r="O38" s="177"/>
      <c r="P38" s="177"/>
      <c r="Q38" s="177"/>
      <c r="R38" s="449"/>
      <c r="S38" s="178"/>
    </row>
    <row r="39" spans="3:19" x14ac:dyDescent="0.25">
      <c r="C39" s="79"/>
      <c r="D39" s="177"/>
      <c r="E39" s="184"/>
      <c r="F39" s="177"/>
      <c r="G39" s="177"/>
      <c r="H39" s="177"/>
      <c r="I39" s="177"/>
      <c r="J39" s="178"/>
      <c r="L39" s="79"/>
      <c r="M39" s="177"/>
      <c r="N39" s="177"/>
      <c r="O39" s="177"/>
      <c r="P39" s="177"/>
      <c r="Q39" s="177"/>
      <c r="R39" s="449"/>
      <c r="S39" s="178"/>
    </row>
    <row r="40" spans="3:19" x14ac:dyDescent="0.25">
      <c r="C40" s="79"/>
      <c r="D40" s="177"/>
      <c r="E40" s="177"/>
      <c r="F40" s="177"/>
      <c r="G40" s="177"/>
      <c r="H40" s="177"/>
      <c r="I40" s="177"/>
      <c r="J40" s="178"/>
      <c r="L40" s="79"/>
      <c r="M40" s="449" t="s">
        <v>235</v>
      </c>
      <c r="N40" s="177" t="s">
        <v>24</v>
      </c>
      <c r="O40" s="452">
        <v>70</v>
      </c>
      <c r="P40" s="449" t="s">
        <v>37</v>
      </c>
      <c r="Q40" s="452">
        <v>100</v>
      </c>
      <c r="R40" s="449" t="s">
        <v>24</v>
      </c>
      <c r="S40" s="178">
        <f>+O40/(1+D3)^1+Q40/(1+D3)^2</f>
        <v>146.28099173553719</v>
      </c>
    </row>
    <row r="41" spans="3:19" x14ac:dyDescent="0.25">
      <c r="C41" s="79"/>
      <c r="D41" s="372">
        <v>0.6</v>
      </c>
      <c r="E41" s="177"/>
      <c r="F41" s="177"/>
      <c r="G41" s="177"/>
      <c r="H41" s="445" t="s">
        <v>39</v>
      </c>
      <c r="I41" s="445" t="s">
        <v>40</v>
      </c>
      <c r="J41" s="178"/>
      <c r="L41" s="79"/>
      <c r="M41" s="177"/>
      <c r="N41" s="447" t="s">
        <v>329</v>
      </c>
      <c r="O41" s="453" t="s">
        <v>332</v>
      </c>
      <c r="P41" s="449"/>
      <c r="Q41" s="453" t="s">
        <v>333</v>
      </c>
      <c r="R41" s="449"/>
      <c r="S41" s="178"/>
    </row>
    <row r="42" spans="3:19" x14ac:dyDescent="0.25">
      <c r="C42" s="79"/>
      <c r="D42" s="177"/>
      <c r="E42" s="177"/>
      <c r="F42" s="372">
        <v>0.7</v>
      </c>
      <c r="G42" s="177"/>
      <c r="H42" s="449">
        <v>70</v>
      </c>
      <c r="I42" s="177">
        <v>100</v>
      </c>
      <c r="J42" s="178"/>
      <c r="L42" s="79"/>
      <c r="M42" s="177"/>
      <c r="N42" s="177"/>
      <c r="O42" s="177"/>
      <c r="P42" s="177"/>
      <c r="Q42" s="177"/>
      <c r="R42" s="449"/>
      <c r="S42" s="178"/>
    </row>
    <row r="43" spans="3:19" x14ac:dyDescent="0.25">
      <c r="C43" s="79"/>
      <c r="D43" s="177"/>
      <c r="E43" s="177"/>
      <c r="F43" s="177"/>
      <c r="G43" s="177"/>
      <c r="H43" s="177"/>
      <c r="I43" s="177"/>
      <c r="J43" s="178"/>
      <c r="L43" s="79"/>
      <c r="M43" s="177"/>
      <c r="N43" s="177"/>
      <c r="O43" s="177"/>
      <c r="P43" s="177"/>
      <c r="Q43" s="177"/>
      <c r="R43" s="449"/>
      <c r="S43" s="178"/>
    </row>
    <row r="44" spans="3:19" x14ac:dyDescent="0.25">
      <c r="C44" s="79"/>
      <c r="D44" s="177"/>
      <c r="E44" s="177"/>
      <c r="F44" s="177" t="s">
        <v>329</v>
      </c>
      <c r="G44" s="177"/>
      <c r="H44" s="177"/>
      <c r="I44" s="445" t="s">
        <v>39</v>
      </c>
      <c r="J44" s="446" t="s">
        <v>40</v>
      </c>
      <c r="L44" s="79"/>
      <c r="M44" s="449" t="s">
        <v>235</v>
      </c>
      <c r="N44" s="177" t="s">
        <v>24</v>
      </c>
      <c r="O44" s="452">
        <v>300</v>
      </c>
      <c r="P44" s="449" t="s">
        <v>37</v>
      </c>
      <c r="Q44" s="452">
        <v>400</v>
      </c>
      <c r="R44" s="449" t="s">
        <v>24</v>
      </c>
      <c r="S44" s="178">
        <f>+O44/(1+D3)^1+Q44/(1+D3)^2</f>
        <v>603.30578512396687</v>
      </c>
    </row>
    <row r="45" spans="3:19" x14ac:dyDescent="0.25">
      <c r="C45" s="79"/>
      <c r="D45" s="177"/>
      <c r="E45" s="177"/>
      <c r="F45" s="177"/>
      <c r="G45" s="177"/>
      <c r="H45" s="177"/>
      <c r="I45" s="177"/>
      <c r="J45" s="178"/>
      <c r="L45" s="79"/>
      <c r="M45" s="449"/>
      <c r="N45" s="447" t="s">
        <v>330</v>
      </c>
      <c r="O45" s="453" t="s">
        <v>332</v>
      </c>
      <c r="P45" s="449"/>
      <c r="Q45" s="453" t="s">
        <v>333</v>
      </c>
      <c r="R45" s="449"/>
      <c r="S45" s="178"/>
    </row>
    <row r="46" spans="3:19" x14ac:dyDescent="0.25">
      <c r="C46" s="448">
        <v>-250</v>
      </c>
      <c r="D46" s="177"/>
      <c r="E46" s="177"/>
      <c r="F46" s="177"/>
      <c r="G46" s="177"/>
      <c r="H46" s="447" t="s">
        <v>330</v>
      </c>
      <c r="I46" s="449">
        <v>300</v>
      </c>
      <c r="J46" s="450">
        <v>400</v>
      </c>
      <c r="L46" s="79"/>
      <c r="M46" s="449"/>
      <c r="N46" s="177"/>
      <c r="O46" s="177"/>
      <c r="P46" s="177"/>
      <c r="Q46" s="177"/>
      <c r="R46" s="449"/>
      <c r="S46" s="178"/>
    </row>
    <row r="47" spans="3:19" ht="14.4" customHeight="1" x14ac:dyDescent="0.25">
      <c r="C47" s="79"/>
      <c r="D47" s="177"/>
      <c r="E47" s="177"/>
      <c r="F47" s="177" t="s">
        <v>328</v>
      </c>
      <c r="G47" s="177"/>
      <c r="H47" s="177"/>
      <c r="I47" s="177"/>
      <c r="J47" s="178"/>
      <c r="L47" s="633" t="s">
        <v>327</v>
      </c>
      <c r="M47" s="456" t="s">
        <v>235</v>
      </c>
      <c r="N47" s="297" t="s">
        <v>24</v>
      </c>
      <c r="O47" s="457">
        <v>300</v>
      </c>
      <c r="P47" s="456" t="s">
        <v>37</v>
      </c>
      <c r="Q47" s="457">
        <v>350</v>
      </c>
      <c r="R47" s="456" t="s">
        <v>24</v>
      </c>
      <c r="S47" s="458">
        <f>+O47/(1+D3)^1+Q47/(1+D3)^2</f>
        <v>561.98347107438008</v>
      </c>
    </row>
    <row r="48" spans="3:19" x14ac:dyDescent="0.25">
      <c r="C48" s="79"/>
      <c r="D48" s="177"/>
      <c r="E48" s="177"/>
      <c r="F48" s="177"/>
      <c r="G48" s="177"/>
      <c r="H48" s="177"/>
      <c r="I48" s="177"/>
      <c r="J48" s="178"/>
      <c r="L48" s="633"/>
      <c r="M48" s="456"/>
      <c r="N48" s="459" t="s">
        <v>334</v>
      </c>
      <c r="O48" s="460" t="s">
        <v>332</v>
      </c>
      <c r="P48" s="456"/>
      <c r="Q48" s="460" t="s">
        <v>333</v>
      </c>
      <c r="R48" s="456"/>
      <c r="S48" s="303"/>
    </row>
    <row r="49" spans="3:25" x14ac:dyDescent="0.25">
      <c r="C49" s="79"/>
      <c r="D49" s="372">
        <v>0.4</v>
      </c>
      <c r="E49" s="177"/>
      <c r="F49" s="372">
        <v>0.3</v>
      </c>
      <c r="G49" s="177"/>
      <c r="H49" s="569"/>
      <c r="I49" s="570">
        <v>300</v>
      </c>
      <c r="J49" s="571">
        <v>350</v>
      </c>
      <c r="L49" s="79"/>
      <c r="M49" s="449"/>
      <c r="N49" s="177"/>
      <c r="O49" s="177"/>
      <c r="P49" s="177"/>
      <c r="Q49" s="177"/>
      <c r="R49" s="449"/>
      <c r="S49" s="178"/>
    </row>
    <row r="50" spans="3:25" x14ac:dyDescent="0.25">
      <c r="C50" s="79"/>
      <c r="D50" s="177"/>
      <c r="E50" s="177"/>
      <c r="F50" s="177"/>
      <c r="G50" s="177"/>
      <c r="H50" s="569" t="s">
        <v>331</v>
      </c>
      <c r="I50" s="569"/>
      <c r="J50" s="572"/>
      <c r="L50" s="79"/>
      <c r="M50" s="449"/>
      <c r="N50" s="177"/>
      <c r="O50" s="177"/>
      <c r="P50" s="177"/>
      <c r="Q50" s="177"/>
      <c r="R50" s="449"/>
      <c r="S50" s="178"/>
    </row>
    <row r="51" spans="3:25" x14ac:dyDescent="0.25">
      <c r="C51" s="79"/>
      <c r="D51" s="177"/>
      <c r="E51" s="184"/>
      <c r="F51" s="177"/>
      <c r="G51" s="177"/>
      <c r="H51" s="177"/>
      <c r="I51" s="177"/>
      <c r="J51" s="178"/>
      <c r="L51" s="79"/>
      <c r="M51" s="449" t="s">
        <v>235</v>
      </c>
      <c r="N51" s="177" t="s">
        <v>24</v>
      </c>
      <c r="O51" s="452">
        <v>250</v>
      </c>
      <c r="P51" s="449" t="s">
        <v>37</v>
      </c>
      <c r="Q51" s="452">
        <v>300</v>
      </c>
      <c r="R51" s="449" t="s">
        <v>24</v>
      </c>
      <c r="S51" s="178">
        <f>+O51/(1+D3)^1+Q51/(1+D3)^2</f>
        <v>475.2066115702479</v>
      </c>
    </row>
    <row r="52" spans="3:25" x14ac:dyDescent="0.25">
      <c r="C52" s="79"/>
      <c r="D52" s="177" t="s">
        <v>327</v>
      </c>
      <c r="E52" s="177"/>
      <c r="F52" s="177"/>
      <c r="G52" s="177"/>
      <c r="H52" s="445" t="s">
        <v>39</v>
      </c>
      <c r="I52" s="445" t="s">
        <v>40</v>
      </c>
      <c r="J52" s="178"/>
      <c r="L52" s="81"/>
      <c r="M52" s="179"/>
      <c r="N52" s="454" t="s">
        <v>329</v>
      </c>
      <c r="O52" s="455" t="s">
        <v>332</v>
      </c>
      <c r="P52" s="452"/>
      <c r="Q52" s="455" t="s">
        <v>333</v>
      </c>
      <c r="R52" s="452"/>
      <c r="S52" s="180"/>
    </row>
    <row r="53" spans="3:25" x14ac:dyDescent="0.25">
      <c r="C53" s="79"/>
      <c r="D53" s="177"/>
      <c r="E53" s="177"/>
      <c r="F53" s="372">
        <v>0.7</v>
      </c>
      <c r="G53" s="177"/>
      <c r="H53" s="449">
        <v>250</v>
      </c>
      <c r="I53" s="449">
        <v>300</v>
      </c>
      <c r="J53" s="178"/>
      <c r="R53" s="203"/>
    </row>
    <row r="54" spans="3:25" x14ac:dyDescent="0.25">
      <c r="C54" s="79"/>
      <c r="D54" s="177"/>
      <c r="E54" s="177"/>
      <c r="F54" s="177"/>
      <c r="G54" s="177"/>
      <c r="H54" s="177"/>
      <c r="I54" s="177"/>
      <c r="J54" s="178"/>
    </row>
    <row r="55" spans="3:25" x14ac:dyDescent="0.25">
      <c r="C55" s="81"/>
      <c r="D55" s="179"/>
      <c r="E55" s="179"/>
      <c r="F55" s="179" t="s">
        <v>329</v>
      </c>
      <c r="G55" s="179"/>
      <c r="H55" s="179"/>
      <c r="I55" s="179"/>
      <c r="J55" s="180"/>
    </row>
    <row r="56" spans="3:25" x14ac:dyDescent="0.25">
      <c r="L56" s="168" t="s">
        <v>337</v>
      </c>
      <c r="M56" s="442"/>
      <c r="N56" s="442"/>
      <c r="O56" s="442"/>
      <c r="P56" s="442"/>
      <c r="Q56" s="442"/>
      <c r="R56" s="442"/>
      <c r="S56" s="442"/>
      <c r="T56" s="442"/>
      <c r="U56" s="442"/>
      <c r="V56" s="442"/>
      <c r="W56" s="442"/>
      <c r="X56" s="442"/>
      <c r="Y56" s="443"/>
    </row>
    <row r="57" spans="3:25" x14ac:dyDescent="0.25">
      <c r="L57" s="79"/>
      <c r="M57" s="177" t="s">
        <v>338</v>
      </c>
      <c r="N57" s="449">
        <v>-250</v>
      </c>
      <c r="O57" s="449" t="s">
        <v>37</v>
      </c>
      <c r="P57" s="387">
        <v>0.6</v>
      </c>
      <c r="Q57" s="449" t="s">
        <v>36</v>
      </c>
      <c r="R57" s="387">
        <v>0.3</v>
      </c>
      <c r="S57" s="449" t="s">
        <v>36</v>
      </c>
      <c r="T57" s="449">
        <f>+S32</f>
        <v>388.42975206611567</v>
      </c>
      <c r="U57" s="449" t="s">
        <v>37</v>
      </c>
      <c r="V57" s="387">
        <v>0.7</v>
      </c>
      <c r="W57" s="449" t="s">
        <v>36</v>
      </c>
      <c r="X57" s="449">
        <f>+S40</f>
        <v>146.28099173553719</v>
      </c>
      <c r="Y57" s="178"/>
    </row>
    <row r="58" spans="3:25" x14ac:dyDescent="0.25">
      <c r="L58" s="79"/>
      <c r="M58" s="177"/>
      <c r="N58" s="449"/>
      <c r="O58" s="177"/>
      <c r="P58" s="387"/>
      <c r="Q58" s="449"/>
      <c r="R58" s="387"/>
      <c r="S58" s="449"/>
      <c r="T58" s="623" t="s">
        <v>37</v>
      </c>
      <c r="U58" s="449"/>
      <c r="V58" s="387"/>
      <c r="W58" s="449"/>
      <c r="X58" s="449"/>
      <c r="Y58" s="178"/>
    </row>
    <row r="59" spans="3:25" x14ac:dyDescent="0.25">
      <c r="L59" s="79"/>
      <c r="M59" s="177"/>
      <c r="N59" s="449"/>
      <c r="O59" s="177"/>
      <c r="P59" s="387"/>
      <c r="Q59" s="449"/>
      <c r="R59" s="387"/>
      <c r="S59" s="449"/>
      <c r="T59" s="623"/>
      <c r="U59" s="449"/>
      <c r="V59" s="387"/>
      <c r="W59" s="449"/>
      <c r="X59" s="449"/>
      <c r="Y59" s="178"/>
    </row>
    <row r="60" spans="3:25" x14ac:dyDescent="0.25">
      <c r="L60" s="79"/>
      <c r="M60" s="177"/>
      <c r="N60" s="449"/>
      <c r="O60" s="449"/>
      <c r="P60" s="387">
        <v>0.4</v>
      </c>
      <c r="Q60" s="449" t="s">
        <v>36</v>
      </c>
      <c r="R60" s="387">
        <v>0.3</v>
      </c>
      <c r="S60" s="449" t="s">
        <v>36</v>
      </c>
      <c r="T60" s="449">
        <f>+S44</f>
        <v>603.30578512396687</v>
      </c>
      <c r="U60" s="449" t="s">
        <v>37</v>
      </c>
      <c r="V60" s="387">
        <v>0.7</v>
      </c>
      <c r="W60" s="449" t="s">
        <v>36</v>
      </c>
      <c r="X60" s="449">
        <f>+S51</f>
        <v>475.2066115702479</v>
      </c>
      <c r="Y60" s="178"/>
    </row>
    <row r="61" spans="3:25" x14ac:dyDescent="0.25">
      <c r="L61" s="79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8"/>
    </row>
    <row r="62" spans="3:25" x14ac:dyDescent="0.25">
      <c r="L62" s="79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8"/>
    </row>
    <row r="63" spans="3:25" x14ac:dyDescent="0.25">
      <c r="L63" s="79"/>
      <c r="M63" s="177" t="s">
        <v>338</v>
      </c>
      <c r="N63" s="124">
        <f>+N57+(P57*(R57*T57+V57*X57)+P60*(R60*T60+V60*X60))</f>
        <v>86.809917355371908</v>
      </c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8"/>
    </row>
    <row r="64" spans="3:25" x14ac:dyDescent="0.25">
      <c r="L64" s="81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462"/>
    </row>
    <row r="67" spans="12:34" x14ac:dyDescent="0.25">
      <c r="L67" s="77" t="s">
        <v>452</v>
      </c>
      <c r="M67" s="443">
        <v>250</v>
      </c>
    </row>
    <row r="68" spans="12:34" x14ac:dyDescent="0.25">
      <c r="L68" s="463" t="s">
        <v>453</v>
      </c>
      <c r="M68" s="464">
        <v>0.1</v>
      </c>
    </row>
    <row r="69" spans="12:34" x14ac:dyDescent="0.25">
      <c r="L69" s="439"/>
      <c r="M69" s="439"/>
    </row>
    <row r="70" spans="12:34" x14ac:dyDescent="0.25">
      <c r="L70" s="465" t="s">
        <v>205</v>
      </c>
      <c r="M70" s="104"/>
      <c r="N70" s="104"/>
      <c r="O70" s="104" t="s">
        <v>206</v>
      </c>
      <c r="P70" s="104"/>
      <c r="Q70" s="466">
        <v>1</v>
      </c>
      <c r="R70" s="467">
        <v>2</v>
      </c>
    </row>
    <row r="71" spans="12:34" x14ac:dyDescent="0.25">
      <c r="L71" s="441"/>
      <c r="M71" s="139"/>
      <c r="N71" s="139" t="s">
        <v>209</v>
      </c>
      <c r="O71" s="139">
        <v>0.3</v>
      </c>
      <c r="P71" s="139" t="s">
        <v>210</v>
      </c>
      <c r="Q71" s="139">
        <v>200</v>
      </c>
      <c r="R71" s="308">
        <v>250</v>
      </c>
    </row>
    <row r="72" spans="12:34" x14ac:dyDescent="0.25">
      <c r="L72" s="441">
        <v>0.6</v>
      </c>
      <c r="M72" s="139" t="s">
        <v>211</v>
      </c>
      <c r="N72" s="139"/>
      <c r="O72" s="13"/>
      <c r="P72" s="139" t="s">
        <v>212</v>
      </c>
      <c r="Q72" s="139">
        <v>200</v>
      </c>
      <c r="R72" s="308">
        <v>120</v>
      </c>
    </row>
    <row r="73" spans="12:34" x14ac:dyDescent="0.25">
      <c r="L73" s="441"/>
      <c r="M73" s="139"/>
      <c r="N73" s="139" t="s">
        <v>213</v>
      </c>
      <c r="O73" s="139">
        <v>0.7</v>
      </c>
      <c r="P73" s="139"/>
      <c r="Q73" s="139">
        <v>70</v>
      </c>
      <c r="R73" s="308">
        <v>100</v>
      </c>
    </row>
    <row r="74" spans="12:34" x14ac:dyDescent="0.25">
      <c r="L74" s="441"/>
      <c r="M74" s="139"/>
      <c r="N74" s="139"/>
      <c r="O74" s="139"/>
      <c r="P74" s="139"/>
      <c r="Q74" s="139"/>
      <c r="R74" s="308"/>
    </row>
    <row r="75" spans="12:34" x14ac:dyDescent="0.25">
      <c r="L75" s="441"/>
      <c r="M75" s="139"/>
      <c r="N75" s="139" t="s">
        <v>209</v>
      </c>
      <c r="O75" s="139">
        <v>0.3</v>
      </c>
      <c r="P75" s="139" t="s">
        <v>210</v>
      </c>
      <c r="Q75" s="139">
        <v>300</v>
      </c>
      <c r="R75" s="308">
        <v>400</v>
      </c>
    </row>
    <row r="76" spans="12:34" x14ac:dyDescent="0.25">
      <c r="L76" s="441">
        <v>0.4</v>
      </c>
      <c r="M76" s="139" t="s">
        <v>214</v>
      </c>
      <c r="N76" s="139"/>
      <c r="O76" s="13"/>
      <c r="P76" s="139" t="s">
        <v>212</v>
      </c>
      <c r="Q76" s="139">
        <v>300</v>
      </c>
      <c r="R76" s="308">
        <v>350</v>
      </c>
    </row>
    <row r="77" spans="12:34" x14ac:dyDescent="0.25">
      <c r="L77" s="23"/>
      <c r="M77" s="43"/>
      <c r="N77" s="137" t="s">
        <v>213</v>
      </c>
      <c r="O77" s="137">
        <v>0.7</v>
      </c>
      <c r="P77" s="137"/>
      <c r="Q77" s="137">
        <v>250</v>
      </c>
      <c r="R77" s="160">
        <v>300</v>
      </c>
    </row>
    <row r="78" spans="12:34" x14ac:dyDescent="0.25">
      <c r="AH78" s="13"/>
    </row>
    <row r="79" spans="12:34" ht="16.8" x14ac:dyDescent="0.35">
      <c r="L79" s="471" t="s">
        <v>106</v>
      </c>
      <c r="M79" s="104" t="s">
        <v>207</v>
      </c>
      <c r="N79" s="104" t="s">
        <v>208</v>
      </c>
      <c r="O79" s="104" t="s">
        <v>27</v>
      </c>
      <c r="P79" s="104" t="s">
        <v>92</v>
      </c>
      <c r="Q79" s="104" t="s">
        <v>454</v>
      </c>
      <c r="R79" s="40" t="s">
        <v>455</v>
      </c>
    </row>
    <row r="80" spans="12:34" x14ac:dyDescent="0.25">
      <c r="L80" s="19"/>
      <c r="M80" s="398">
        <v>1</v>
      </c>
      <c r="N80" s="363">
        <f>+L72*O71</f>
        <v>0.18</v>
      </c>
      <c r="O80" s="13">
        <f>-$M$67+NPV($M$68,Q71:R71)</f>
        <v>138.42975206611567</v>
      </c>
      <c r="P80" s="13">
        <f>+N80*O80</f>
        <v>24.917355371900818</v>
      </c>
      <c r="Q80" s="13">
        <f>+(O80-$P$87)^2</f>
        <v>2664.6073355645108</v>
      </c>
      <c r="R80" s="20">
        <f>+Q80*N80</f>
        <v>479.62932040161195</v>
      </c>
    </row>
    <row r="81" spans="12:25" x14ac:dyDescent="0.25">
      <c r="L81" s="19"/>
      <c r="M81" s="398"/>
      <c r="N81" s="363"/>
      <c r="O81" s="468"/>
      <c r="P81" s="13"/>
      <c r="Q81" s="13"/>
      <c r="R81" s="20"/>
    </row>
    <row r="82" spans="12:25" x14ac:dyDescent="0.25">
      <c r="L82" s="19"/>
      <c r="M82" s="398">
        <v>3</v>
      </c>
      <c r="N82" s="363">
        <f>+L72*O73</f>
        <v>0.42</v>
      </c>
      <c r="O82" s="13">
        <f>-$M$67+NPV($M$68,Q73:R73)</f>
        <v>-103.71900826446281</v>
      </c>
      <c r="P82" s="13">
        <f>+N82*O82</f>
        <v>-43.561983471074377</v>
      </c>
      <c r="Q82" s="13">
        <f>+(O82-$P$87)^2</f>
        <v>36301.271497848502</v>
      </c>
      <c r="R82" s="20">
        <f>+Q82*N82</f>
        <v>15246.53402909637</v>
      </c>
    </row>
    <row r="83" spans="12:25" x14ac:dyDescent="0.25">
      <c r="L83" s="19"/>
      <c r="M83" s="398"/>
      <c r="N83" s="363"/>
      <c r="O83" s="13"/>
      <c r="P83" s="13"/>
      <c r="Q83" s="13"/>
      <c r="R83" s="20"/>
    </row>
    <row r="84" spans="12:25" x14ac:dyDescent="0.25">
      <c r="L84" s="19"/>
      <c r="M84" s="398">
        <v>4</v>
      </c>
      <c r="N84" s="363">
        <f>+L76*O75</f>
        <v>0.12</v>
      </c>
      <c r="O84" s="13">
        <f>-$M$67+NPV($M$68,Q75:R75)</f>
        <v>353.30578512396687</v>
      </c>
      <c r="P84" s="13">
        <f>+N84*O84</f>
        <v>42.396694214876021</v>
      </c>
      <c r="Q84" s="13">
        <f>+(O84-$P$87)^2</f>
        <v>71020.047537736478</v>
      </c>
      <c r="R84" s="20">
        <f>+Q84*N84</f>
        <v>8522.4057045283771</v>
      </c>
    </row>
    <row r="85" spans="12:25" x14ac:dyDescent="0.25">
      <c r="L85" s="19"/>
      <c r="M85" s="398"/>
      <c r="N85" s="363"/>
      <c r="O85" s="468"/>
      <c r="P85" s="13"/>
      <c r="Q85" s="13"/>
      <c r="R85" s="20"/>
    </row>
    <row r="86" spans="12:25" x14ac:dyDescent="0.25">
      <c r="L86" s="19"/>
      <c r="M86" s="398">
        <v>6</v>
      </c>
      <c r="N86" s="363">
        <f>+L76*O77</f>
        <v>0.27999999999999997</v>
      </c>
      <c r="O86" s="13">
        <f>-$M$67+NPV($M$68,Q77:R77)</f>
        <v>225.2066115702479</v>
      </c>
      <c r="P86" s="13">
        <f>+N86*O86</f>
        <v>63.057851239669404</v>
      </c>
      <c r="Q86" s="13">
        <f>+(O86-$P$87)^2</f>
        <v>19153.644969605906</v>
      </c>
      <c r="R86" s="20">
        <f>+Q86*N86</f>
        <v>5363.0205914896533</v>
      </c>
    </row>
    <row r="87" spans="12:25" ht="16.8" x14ac:dyDescent="0.35">
      <c r="L87" s="19"/>
      <c r="M87" s="13"/>
      <c r="N87" s="13"/>
      <c r="O87" s="469" t="s">
        <v>92</v>
      </c>
      <c r="P87" s="71">
        <f>SUM(P80:P86)</f>
        <v>86.809917355371866</v>
      </c>
      <c r="Q87" s="470" t="s">
        <v>450</v>
      </c>
      <c r="R87" s="72">
        <f>SUM(R80:R86)</f>
        <v>29611.589645516015</v>
      </c>
      <c r="S87" s="13"/>
    </row>
    <row r="88" spans="12:25" ht="16.2" x14ac:dyDescent="0.35">
      <c r="L88" s="23"/>
      <c r="M88" s="43"/>
      <c r="N88" s="43"/>
      <c r="O88" s="91"/>
      <c r="P88" s="299"/>
      <c r="Q88" s="470" t="s">
        <v>451</v>
      </c>
      <c r="R88" s="72">
        <f>SQRT(R87)</f>
        <v>172.08018376767274</v>
      </c>
      <c r="S88" s="13"/>
    </row>
    <row r="91" spans="12:25" ht="15.6" x14ac:dyDescent="0.35">
      <c r="M91" s="36"/>
      <c r="N91" s="472"/>
      <c r="O91" s="192" t="s">
        <v>367</v>
      </c>
      <c r="P91" s="104" t="s">
        <v>92</v>
      </c>
      <c r="Q91" s="193" t="s">
        <v>368</v>
      </c>
    </row>
    <row r="92" spans="12:25" x14ac:dyDescent="0.25">
      <c r="M92" s="81" t="s">
        <v>339</v>
      </c>
      <c r="N92" s="179"/>
      <c r="O92" s="179">
        <f>+P92-2*R88</f>
        <v>-257.35045017997362</v>
      </c>
      <c r="P92" s="452">
        <f>+P87</f>
        <v>86.809917355371866</v>
      </c>
      <c r="Q92" s="180">
        <f>+P92+2*R88</f>
        <v>430.97028489071732</v>
      </c>
      <c r="Y92" s="11"/>
    </row>
    <row r="95" spans="12:25" x14ac:dyDescent="0.25">
      <c r="L95" s="473" t="s">
        <v>107</v>
      </c>
      <c r="M95" s="442" t="s">
        <v>428</v>
      </c>
      <c r="N95" s="187">
        <f>+P87/R88</f>
        <v>0.50447364394133176</v>
      </c>
    </row>
    <row r="96" spans="12:25" x14ac:dyDescent="0.25">
      <c r="L96" s="79"/>
      <c r="M96" s="447" t="s">
        <v>340</v>
      </c>
      <c r="N96" s="189">
        <f>N95*34.13%</f>
        <v>0.17217685467717656</v>
      </c>
    </row>
    <row r="97" spans="12:43" x14ac:dyDescent="0.25">
      <c r="L97" s="81"/>
      <c r="M97" s="304" t="s">
        <v>301</v>
      </c>
      <c r="N97" s="191">
        <f>0.5+N96</f>
        <v>0.67217685467717658</v>
      </c>
    </row>
    <row r="98" spans="12:43" ht="4.95" customHeight="1" x14ac:dyDescent="0.25">
      <c r="AP98" s="203"/>
      <c r="AQ98" s="7"/>
    </row>
    <row r="99" spans="12:43" ht="4.95" customHeight="1" x14ac:dyDescent="0.25">
      <c r="AP99" s="203"/>
    </row>
  </sheetData>
  <sheetProtection algorithmName="SHA-512" hashValue="g/bzddUfWMt1Ufr9+GcrcyI3gRt0bGEOAQCwSV+T3vQ7oWl08vOPV3cvu1utWbhfoPeEfoFotNsqZMLGxxcjTQ==" saltValue="FgOnZMFuNiWJe/XL6DXxvQ==" spinCount="100000" sheet="1" objects="1" scenarios="1"/>
  <mergeCells count="4">
    <mergeCell ref="T58:T59"/>
    <mergeCell ref="B1:X1"/>
    <mergeCell ref="L36:L37"/>
    <mergeCell ref="L47:L48"/>
  </mergeCells>
  <pageMargins left="0.7" right="0.7" top="0.75" bottom="0.75" header="0.3" footer="0.3"/>
  <pageSetup orientation="portrait" horizontalDpi="360" verticalDpi="36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C1:X56"/>
  <sheetViews>
    <sheetView topLeftCell="C21" zoomScaleNormal="100" workbookViewId="0">
      <selection activeCell="X38" sqref="X38"/>
    </sheetView>
  </sheetViews>
  <sheetFormatPr baseColWidth="10" defaultRowHeight="13.8" x14ac:dyDescent="0.25"/>
  <cols>
    <col min="1" max="1" width="15.6640625" style="218" customWidth="1"/>
    <col min="2" max="4" width="11.44140625" style="218"/>
    <col min="5" max="5" width="2.44140625" style="218" customWidth="1"/>
    <col min="6" max="6" width="5.33203125" style="218" customWidth="1"/>
    <col min="7" max="7" width="11" style="218" customWidth="1"/>
    <col min="8" max="8" width="3.5546875" style="218" customWidth="1"/>
    <col min="9" max="9" width="2.5546875" style="218" customWidth="1"/>
    <col min="10" max="10" width="4.33203125" style="218" customWidth="1"/>
    <col min="11" max="11" width="8" style="218" customWidth="1"/>
    <col min="12" max="12" width="12.44140625" style="218" customWidth="1"/>
    <col min="13" max="13" width="1.5546875" style="218" customWidth="1"/>
    <col min="14" max="14" width="14.33203125" style="218" customWidth="1"/>
    <col min="15" max="15" width="11.44140625" style="218"/>
    <col min="16" max="16" width="11.44140625" style="361"/>
    <col min="17" max="17" width="6" style="218" customWidth="1"/>
    <col min="18" max="18" width="15.109375" style="218" bestFit="1" customWidth="1"/>
    <col min="19" max="19" width="2.109375" style="218" customWidth="1"/>
    <col min="20" max="20" width="11.44140625" style="218" bestFit="1" customWidth="1"/>
    <col min="21" max="21" width="2.109375" style="218" bestFit="1" customWidth="1"/>
    <col min="22" max="22" width="7.88671875" style="218" bestFit="1" customWidth="1"/>
    <col min="23" max="23" width="2.109375" style="218" bestFit="1" customWidth="1"/>
    <col min="24" max="24" width="9.33203125" style="218" customWidth="1"/>
    <col min="25" max="25" width="3.6640625" style="218" customWidth="1"/>
    <col min="26" max="26" width="6.44140625" style="218" customWidth="1"/>
    <col min="27" max="260" width="11.44140625" style="218"/>
    <col min="261" max="261" width="1.33203125" style="218" customWidth="1"/>
    <col min="262" max="262" width="5.33203125" style="218" customWidth="1"/>
    <col min="263" max="263" width="8" style="218" customWidth="1"/>
    <col min="264" max="264" width="3.5546875" style="218" customWidth="1"/>
    <col min="265" max="265" width="1.33203125" style="218" customWidth="1"/>
    <col min="266" max="266" width="4.33203125" style="218" customWidth="1"/>
    <col min="267" max="267" width="1.33203125" style="218" customWidth="1"/>
    <col min="268" max="268" width="12.44140625" style="218" customWidth="1"/>
    <col min="269" max="269" width="1.5546875" style="218" customWidth="1"/>
    <col min="270" max="272" width="11.44140625" style="218"/>
    <col min="273" max="273" width="3" style="218" customWidth="1"/>
    <col min="274" max="274" width="11.44140625" style="218"/>
    <col min="275" max="275" width="2.109375" style="218" customWidth="1"/>
    <col min="276" max="276" width="11.44140625" style="218"/>
    <col min="277" max="277" width="2.6640625" style="218" customWidth="1"/>
    <col min="278" max="278" width="11.44140625" style="218"/>
    <col min="279" max="279" width="3.44140625" style="218" customWidth="1"/>
    <col min="280" max="516" width="11.44140625" style="218"/>
    <col min="517" max="517" width="1.33203125" style="218" customWidth="1"/>
    <col min="518" max="518" width="5.33203125" style="218" customWidth="1"/>
    <col min="519" max="519" width="8" style="218" customWidth="1"/>
    <col min="520" max="520" width="3.5546875" style="218" customWidth="1"/>
    <col min="521" max="521" width="1.33203125" style="218" customWidth="1"/>
    <col min="522" max="522" width="4.33203125" style="218" customWidth="1"/>
    <col min="523" max="523" width="1.33203125" style="218" customWidth="1"/>
    <col min="524" max="524" width="12.44140625" style="218" customWidth="1"/>
    <col min="525" max="525" width="1.5546875" style="218" customWidth="1"/>
    <col min="526" max="528" width="11.44140625" style="218"/>
    <col min="529" max="529" width="3" style="218" customWidth="1"/>
    <col min="530" max="530" width="11.44140625" style="218"/>
    <col min="531" max="531" width="2.109375" style="218" customWidth="1"/>
    <col min="532" max="532" width="11.44140625" style="218"/>
    <col min="533" max="533" width="2.6640625" style="218" customWidth="1"/>
    <col min="534" max="534" width="11.44140625" style="218"/>
    <col min="535" max="535" width="3.44140625" style="218" customWidth="1"/>
    <col min="536" max="772" width="11.44140625" style="218"/>
    <col min="773" max="773" width="1.33203125" style="218" customWidth="1"/>
    <col min="774" max="774" width="5.33203125" style="218" customWidth="1"/>
    <col min="775" max="775" width="8" style="218" customWidth="1"/>
    <col min="776" max="776" width="3.5546875" style="218" customWidth="1"/>
    <col min="777" max="777" width="1.33203125" style="218" customWidth="1"/>
    <col min="778" max="778" width="4.33203125" style="218" customWidth="1"/>
    <col min="779" max="779" width="1.33203125" style="218" customWidth="1"/>
    <col min="780" max="780" width="12.44140625" style="218" customWidth="1"/>
    <col min="781" max="781" width="1.5546875" style="218" customWidth="1"/>
    <col min="782" max="784" width="11.44140625" style="218"/>
    <col min="785" max="785" width="3" style="218" customWidth="1"/>
    <col min="786" max="786" width="11.44140625" style="218"/>
    <col min="787" max="787" width="2.109375" style="218" customWidth="1"/>
    <col min="788" max="788" width="11.44140625" style="218"/>
    <col min="789" max="789" width="2.6640625" style="218" customWidth="1"/>
    <col min="790" max="790" width="11.44140625" style="218"/>
    <col min="791" max="791" width="3.44140625" style="218" customWidth="1"/>
    <col min="792" max="1028" width="11.44140625" style="218"/>
    <col min="1029" max="1029" width="1.33203125" style="218" customWidth="1"/>
    <col min="1030" max="1030" width="5.33203125" style="218" customWidth="1"/>
    <col min="1031" max="1031" width="8" style="218" customWidth="1"/>
    <col min="1032" max="1032" width="3.5546875" style="218" customWidth="1"/>
    <col min="1033" max="1033" width="1.33203125" style="218" customWidth="1"/>
    <col min="1034" max="1034" width="4.33203125" style="218" customWidth="1"/>
    <col min="1035" max="1035" width="1.33203125" style="218" customWidth="1"/>
    <col min="1036" max="1036" width="12.44140625" style="218" customWidth="1"/>
    <col min="1037" max="1037" width="1.5546875" style="218" customWidth="1"/>
    <col min="1038" max="1040" width="11.44140625" style="218"/>
    <col min="1041" max="1041" width="3" style="218" customWidth="1"/>
    <col min="1042" max="1042" width="11.44140625" style="218"/>
    <col min="1043" max="1043" width="2.109375" style="218" customWidth="1"/>
    <col min="1044" max="1044" width="11.44140625" style="218"/>
    <col min="1045" max="1045" width="2.6640625" style="218" customWidth="1"/>
    <col min="1046" max="1046" width="11.44140625" style="218"/>
    <col min="1047" max="1047" width="3.44140625" style="218" customWidth="1"/>
    <col min="1048" max="1284" width="11.44140625" style="218"/>
    <col min="1285" max="1285" width="1.33203125" style="218" customWidth="1"/>
    <col min="1286" max="1286" width="5.33203125" style="218" customWidth="1"/>
    <col min="1287" max="1287" width="8" style="218" customWidth="1"/>
    <col min="1288" max="1288" width="3.5546875" style="218" customWidth="1"/>
    <col min="1289" max="1289" width="1.33203125" style="218" customWidth="1"/>
    <col min="1290" max="1290" width="4.33203125" style="218" customWidth="1"/>
    <col min="1291" max="1291" width="1.33203125" style="218" customWidth="1"/>
    <col min="1292" max="1292" width="12.44140625" style="218" customWidth="1"/>
    <col min="1293" max="1293" width="1.5546875" style="218" customWidth="1"/>
    <col min="1294" max="1296" width="11.44140625" style="218"/>
    <col min="1297" max="1297" width="3" style="218" customWidth="1"/>
    <col min="1298" max="1298" width="11.44140625" style="218"/>
    <col min="1299" max="1299" width="2.109375" style="218" customWidth="1"/>
    <col min="1300" max="1300" width="11.44140625" style="218"/>
    <col min="1301" max="1301" width="2.6640625" style="218" customWidth="1"/>
    <col min="1302" max="1302" width="11.44140625" style="218"/>
    <col min="1303" max="1303" width="3.44140625" style="218" customWidth="1"/>
    <col min="1304" max="1540" width="11.44140625" style="218"/>
    <col min="1541" max="1541" width="1.33203125" style="218" customWidth="1"/>
    <col min="1542" max="1542" width="5.33203125" style="218" customWidth="1"/>
    <col min="1543" max="1543" width="8" style="218" customWidth="1"/>
    <col min="1544" max="1544" width="3.5546875" style="218" customWidth="1"/>
    <col min="1545" max="1545" width="1.33203125" style="218" customWidth="1"/>
    <col min="1546" max="1546" width="4.33203125" style="218" customWidth="1"/>
    <col min="1547" max="1547" width="1.33203125" style="218" customWidth="1"/>
    <col min="1548" max="1548" width="12.44140625" style="218" customWidth="1"/>
    <col min="1549" max="1549" width="1.5546875" style="218" customWidth="1"/>
    <col min="1550" max="1552" width="11.44140625" style="218"/>
    <col min="1553" max="1553" width="3" style="218" customWidth="1"/>
    <col min="1554" max="1554" width="11.44140625" style="218"/>
    <col min="1555" max="1555" width="2.109375" style="218" customWidth="1"/>
    <col min="1556" max="1556" width="11.44140625" style="218"/>
    <col min="1557" max="1557" width="2.6640625" style="218" customWidth="1"/>
    <col min="1558" max="1558" width="11.44140625" style="218"/>
    <col min="1559" max="1559" width="3.44140625" style="218" customWidth="1"/>
    <col min="1560" max="1796" width="11.44140625" style="218"/>
    <col min="1797" max="1797" width="1.33203125" style="218" customWidth="1"/>
    <col min="1798" max="1798" width="5.33203125" style="218" customWidth="1"/>
    <col min="1799" max="1799" width="8" style="218" customWidth="1"/>
    <col min="1800" max="1800" width="3.5546875" style="218" customWidth="1"/>
    <col min="1801" max="1801" width="1.33203125" style="218" customWidth="1"/>
    <col min="1802" max="1802" width="4.33203125" style="218" customWidth="1"/>
    <col min="1803" max="1803" width="1.33203125" style="218" customWidth="1"/>
    <col min="1804" max="1804" width="12.44140625" style="218" customWidth="1"/>
    <col min="1805" max="1805" width="1.5546875" style="218" customWidth="1"/>
    <col min="1806" max="1808" width="11.44140625" style="218"/>
    <col min="1809" max="1809" width="3" style="218" customWidth="1"/>
    <col min="1810" max="1810" width="11.44140625" style="218"/>
    <col min="1811" max="1811" width="2.109375" style="218" customWidth="1"/>
    <col min="1812" max="1812" width="11.44140625" style="218"/>
    <col min="1813" max="1813" width="2.6640625" style="218" customWidth="1"/>
    <col min="1814" max="1814" width="11.44140625" style="218"/>
    <col min="1815" max="1815" width="3.44140625" style="218" customWidth="1"/>
    <col min="1816" max="2052" width="11.44140625" style="218"/>
    <col min="2053" max="2053" width="1.33203125" style="218" customWidth="1"/>
    <col min="2054" max="2054" width="5.33203125" style="218" customWidth="1"/>
    <col min="2055" max="2055" width="8" style="218" customWidth="1"/>
    <col min="2056" max="2056" width="3.5546875" style="218" customWidth="1"/>
    <col min="2057" max="2057" width="1.33203125" style="218" customWidth="1"/>
    <col min="2058" max="2058" width="4.33203125" style="218" customWidth="1"/>
    <col min="2059" max="2059" width="1.33203125" style="218" customWidth="1"/>
    <col min="2060" max="2060" width="12.44140625" style="218" customWidth="1"/>
    <col min="2061" max="2061" width="1.5546875" style="218" customWidth="1"/>
    <col min="2062" max="2064" width="11.44140625" style="218"/>
    <col min="2065" max="2065" width="3" style="218" customWidth="1"/>
    <col min="2066" max="2066" width="11.44140625" style="218"/>
    <col min="2067" max="2067" width="2.109375" style="218" customWidth="1"/>
    <col min="2068" max="2068" width="11.44140625" style="218"/>
    <col min="2069" max="2069" width="2.6640625" style="218" customWidth="1"/>
    <col min="2070" max="2070" width="11.44140625" style="218"/>
    <col min="2071" max="2071" width="3.44140625" style="218" customWidth="1"/>
    <col min="2072" max="2308" width="11.44140625" style="218"/>
    <col min="2309" max="2309" width="1.33203125" style="218" customWidth="1"/>
    <col min="2310" max="2310" width="5.33203125" style="218" customWidth="1"/>
    <col min="2311" max="2311" width="8" style="218" customWidth="1"/>
    <col min="2312" max="2312" width="3.5546875" style="218" customWidth="1"/>
    <col min="2313" max="2313" width="1.33203125" style="218" customWidth="1"/>
    <col min="2314" max="2314" width="4.33203125" style="218" customWidth="1"/>
    <col min="2315" max="2315" width="1.33203125" style="218" customWidth="1"/>
    <col min="2316" max="2316" width="12.44140625" style="218" customWidth="1"/>
    <col min="2317" max="2317" width="1.5546875" style="218" customWidth="1"/>
    <col min="2318" max="2320" width="11.44140625" style="218"/>
    <col min="2321" max="2321" width="3" style="218" customWidth="1"/>
    <col min="2322" max="2322" width="11.44140625" style="218"/>
    <col min="2323" max="2323" width="2.109375" style="218" customWidth="1"/>
    <col min="2324" max="2324" width="11.44140625" style="218"/>
    <col min="2325" max="2325" width="2.6640625" style="218" customWidth="1"/>
    <col min="2326" max="2326" width="11.44140625" style="218"/>
    <col min="2327" max="2327" width="3.44140625" style="218" customWidth="1"/>
    <col min="2328" max="2564" width="11.44140625" style="218"/>
    <col min="2565" max="2565" width="1.33203125" style="218" customWidth="1"/>
    <col min="2566" max="2566" width="5.33203125" style="218" customWidth="1"/>
    <col min="2567" max="2567" width="8" style="218" customWidth="1"/>
    <col min="2568" max="2568" width="3.5546875" style="218" customWidth="1"/>
    <col min="2569" max="2569" width="1.33203125" style="218" customWidth="1"/>
    <col min="2570" max="2570" width="4.33203125" style="218" customWidth="1"/>
    <col min="2571" max="2571" width="1.33203125" style="218" customWidth="1"/>
    <col min="2572" max="2572" width="12.44140625" style="218" customWidth="1"/>
    <col min="2573" max="2573" width="1.5546875" style="218" customWidth="1"/>
    <col min="2574" max="2576" width="11.44140625" style="218"/>
    <col min="2577" max="2577" width="3" style="218" customWidth="1"/>
    <col min="2578" max="2578" width="11.44140625" style="218"/>
    <col min="2579" max="2579" width="2.109375" style="218" customWidth="1"/>
    <col min="2580" max="2580" width="11.44140625" style="218"/>
    <col min="2581" max="2581" width="2.6640625" style="218" customWidth="1"/>
    <col min="2582" max="2582" width="11.44140625" style="218"/>
    <col min="2583" max="2583" width="3.44140625" style="218" customWidth="1"/>
    <col min="2584" max="2820" width="11.44140625" style="218"/>
    <col min="2821" max="2821" width="1.33203125" style="218" customWidth="1"/>
    <col min="2822" max="2822" width="5.33203125" style="218" customWidth="1"/>
    <col min="2823" max="2823" width="8" style="218" customWidth="1"/>
    <col min="2824" max="2824" width="3.5546875" style="218" customWidth="1"/>
    <col min="2825" max="2825" width="1.33203125" style="218" customWidth="1"/>
    <col min="2826" max="2826" width="4.33203125" style="218" customWidth="1"/>
    <col min="2827" max="2827" width="1.33203125" style="218" customWidth="1"/>
    <col min="2828" max="2828" width="12.44140625" style="218" customWidth="1"/>
    <col min="2829" max="2829" width="1.5546875" style="218" customWidth="1"/>
    <col min="2830" max="2832" width="11.44140625" style="218"/>
    <col min="2833" max="2833" width="3" style="218" customWidth="1"/>
    <col min="2834" max="2834" width="11.44140625" style="218"/>
    <col min="2835" max="2835" width="2.109375" style="218" customWidth="1"/>
    <col min="2836" max="2836" width="11.44140625" style="218"/>
    <col min="2837" max="2837" width="2.6640625" style="218" customWidth="1"/>
    <col min="2838" max="2838" width="11.44140625" style="218"/>
    <col min="2839" max="2839" width="3.44140625" style="218" customWidth="1"/>
    <col min="2840" max="3076" width="11.44140625" style="218"/>
    <col min="3077" max="3077" width="1.33203125" style="218" customWidth="1"/>
    <col min="3078" max="3078" width="5.33203125" style="218" customWidth="1"/>
    <col min="3079" max="3079" width="8" style="218" customWidth="1"/>
    <col min="3080" max="3080" width="3.5546875" style="218" customWidth="1"/>
    <col min="3081" max="3081" width="1.33203125" style="218" customWidth="1"/>
    <col min="3082" max="3082" width="4.33203125" style="218" customWidth="1"/>
    <col min="3083" max="3083" width="1.33203125" style="218" customWidth="1"/>
    <col min="3084" max="3084" width="12.44140625" style="218" customWidth="1"/>
    <col min="3085" max="3085" width="1.5546875" style="218" customWidth="1"/>
    <col min="3086" max="3088" width="11.44140625" style="218"/>
    <col min="3089" max="3089" width="3" style="218" customWidth="1"/>
    <col min="3090" max="3090" width="11.44140625" style="218"/>
    <col min="3091" max="3091" width="2.109375" style="218" customWidth="1"/>
    <col min="3092" max="3092" width="11.44140625" style="218"/>
    <col min="3093" max="3093" width="2.6640625" style="218" customWidth="1"/>
    <col min="3094" max="3094" width="11.44140625" style="218"/>
    <col min="3095" max="3095" width="3.44140625" style="218" customWidth="1"/>
    <col min="3096" max="3332" width="11.44140625" style="218"/>
    <col min="3333" max="3333" width="1.33203125" style="218" customWidth="1"/>
    <col min="3334" max="3334" width="5.33203125" style="218" customWidth="1"/>
    <col min="3335" max="3335" width="8" style="218" customWidth="1"/>
    <col min="3336" max="3336" width="3.5546875" style="218" customWidth="1"/>
    <col min="3337" max="3337" width="1.33203125" style="218" customWidth="1"/>
    <col min="3338" max="3338" width="4.33203125" style="218" customWidth="1"/>
    <col min="3339" max="3339" width="1.33203125" style="218" customWidth="1"/>
    <col min="3340" max="3340" width="12.44140625" style="218" customWidth="1"/>
    <col min="3341" max="3341" width="1.5546875" style="218" customWidth="1"/>
    <col min="3342" max="3344" width="11.44140625" style="218"/>
    <col min="3345" max="3345" width="3" style="218" customWidth="1"/>
    <col min="3346" max="3346" width="11.44140625" style="218"/>
    <col min="3347" max="3347" width="2.109375" style="218" customWidth="1"/>
    <col min="3348" max="3348" width="11.44140625" style="218"/>
    <col min="3349" max="3349" width="2.6640625" style="218" customWidth="1"/>
    <col min="3350" max="3350" width="11.44140625" style="218"/>
    <col min="3351" max="3351" width="3.44140625" style="218" customWidth="1"/>
    <col min="3352" max="3588" width="11.44140625" style="218"/>
    <col min="3589" max="3589" width="1.33203125" style="218" customWidth="1"/>
    <col min="3590" max="3590" width="5.33203125" style="218" customWidth="1"/>
    <col min="3591" max="3591" width="8" style="218" customWidth="1"/>
    <col min="3592" max="3592" width="3.5546875" style="218" customWidth="1"/>
    <col min="3593" max="3593" width="1.33203125" style="218" customWidth="1"/>
    <col min="3594" max="3594" width="4.33203125" style="218" customWidth="1"/>
    <col min="3595" max="3595" width="1.33203125" style="218" customWidth="1"/>
    <col min="3596" max="3596" width="12.44140625" style="218" customWidth="1"/>
    <col min="3597" max="3597" width="1.5546875" style="218" customWidth="1"/>
    <col min="3598" max="3600" width="11.44140625" style="218"/>
    <col min="3601" max="3601" width="3" style="218" customWidth="1"/>
    <col min="3602" max="3602" width="11.44140625" style="218"/>
    <col min="3603" max="3603" width="2.109375" style="218" customWidth="1"/>
    <col min="3604" max="3604" width="11.44140625" style="218"/>
    <col min="3605" max="3605" width="2.6640625" style="218" customWidth="1"/>
    <col min="3606" max="3606" width="11.44140625" style="218"/>
    <col min="3607" max="3607" width="3.44140625" style="218" customWidth="1"/>
    <col min="3608" max="3844" width="11.44140625" style="218"/>
    <col min="3845" max="3845" width="1.33203125" style="218" customWidth="1"/>
    <col min="3846" max="3846" width="5.33203125" style="218" customWidth="1"/>
    <col min="3847" max="3847" width="8" style="218" customWidth="1"/>
    <col min="3848" max="3848" width="3.5546875" style="218" customWidth="1"/>
    <col min="3849" max="3849" width="1.33203125" style="218" customWidth="1"/>
    <col min="3850" max="3850" width="4.33203125" style="218" customWidth="1"/>
    <col min="3851" max="3851" width="1.33203125" style="218" customWidth="1"/>
    <col min="3852" max="3852" width="12.44140625" style="218" customWidth="1"/>
    <col min="3853" max="3853" width="1.5546875" style="218" customWidth="1"/>
    <col min="3854" max="3856" width="11.44140625" style="218"/>
    <col min="3857" max="3857" width="3" style="218" customWidth="1"/>
    <col min="3858" max="3858" width="11.44140625" style="218"/>
    <col min="3859" max="3859" width="2.109375" style="218" customWidth="1"/>
    <col min="3860" max="3860" width="11.44140625" style="218"/>
    <col min="3861" max="3861" width="2.6640625" style="218" customWidth="1"/>
    <col min="3862" max="3862" width="11.44140625" style="218"/>
    <col min="3863" max="3863" width="3.44140625" style="218" customWidth="1"/>
    <col min="3864" max="4100" width="11.44140625" style="218"/>
    <col min="4101" max="4101" width="1.33203125" style="218" customWidth="1"/>
    <col min="4102" max="4102" width="5.33203125" style="218" customWidth="1"/>
    <col min="4103" max="4103" width="8" style="218" customWidth="1"/>
    <col min="4104" max="4104" width="3.5546875" style="218" customWidth="1"/>
    <col min="4105" max="4105" width="1.33203125" style="218" customWidth="1"/>
    <col min="4106" max="4106" width="4.33203125" style="218" customWidth="1"/>
    <col min="4107" max="4107" width="1.33203125" style="218" customWidth="1"/>
    <col min="4108" max="4108" width="12.44140625" style="218" customWidth="1"/>
    <col min="4109" max="4109" width="1.5546875" style="218" customWidth="1"/>
    <col min="4110" max="4112" width="11.44140625" style="218"/>
    <col min="4113" max="4113" width="3" style="218" customWidth="1"/>
    <col min="4114" max="4114" width="11.44140625" style="218"/>
    <col min="4115" max="4115" width="2.109375" style="218" customWidth="1"/>
    <col min="4116" max="4116" width="11.44140625" style="218"/>
    <col min="4117" max="4117" width="2.6640625" style="218" customWidth="1"/>
    <col min="4118" max="4118" width="11.44140625" style="218"/>
    <col min="4119" max="4119" width="3.44140625" style="218" customWidth="1"/>
    <col min="4120" max="4356" width="11.44140625" style="218"/>
    <col min="4357" max="4357" width="1.33203125" style="218" customWidth="1"/>
    <col min="4358" max="4358" width="5.33203125" style="218" customWidth="1"/>
    <col min="4359" max="4359" width="8" style="218" customWidth="1"/>
    <col min="4360" max="4360" width="3.5546875" style="218" customWidth="1"/>
    <col min="4361" max="4361" width="1.33203125" style="218" customWidth="1"/>
    <col min="4362" max="4362" width="4.33203125" style="218" customWidth="1"/>
    <col min="4363" max="4363" width="1.33203125" style="218" customWidth="1"/>
    <col min="4364" max="4364" width="12.44140625" style="218" customWidth="1"/>
    <col min="4365" max="4365" width="1.5546875" style="218" customWidth="1"/>
    <col min="4366" max="4368" width="11.44140625" style="218"/>
    <col min="4369" max="4369" width="3" style="218" customWidth="1"/>
    <col min="4370" max="4370" width="11.44140625" style="218"/>
    <col min="4371" max="4371" width="2.109375" style="218" customWidth="1"/>
    <col min="4372" max="4372" width="11.44140625" style="218"/>
    <col min="4373" max="4373" width="2.6640625" style="218" customWidth="1"/>
    <col min="4374" max="4374" width="11.44140625" style="218"/>
    <col min="4375" max="4375" width="3.44140625" style="218" customWidth="1"/>
    <col min="4376" max="4612" width="11.44140625" style="218"/>
    <col min="4613" max="4613" width="1.33203125" style="218" customWidth="1"/>
    <col min="4614" max="4614" width="5.33203125" style="218" customWidth="1"/>
    <col min="4615" max="4615" width="8" style="218" customWidth="1"/>
    <col min="4616" max="4616" width="3.5546875" style="218" customWidth="1"/>
    <col min="4617" max="4617" width="1.33203125" style="218" customWidth="1"/>
    <col min="4618" max="4618" width="4.33203125" style="218" customWidth="1"/>
    <col min="4619" max="4619" width="1.33203125" style="218" customWidth="1"/>
    <col min="4620" max="4620" width="12.44140625" style="218" customWidth="1"/>
    <col min="4621" max="4621" width="1.5546875" style="218" customWidth="1"/>
    <col min="4622" max="4624" width="11.44140625" style="218"/>
    <col min="4625" max="4625" width="3" style="218" customWidth="1"/>
    <col min="4626" max="4626" width="11.44140625" style="218"/>
    <col min="4627" max="4627" width="2.109375" style="218" customWidth="1"/>
    <col min="4628" max="4628" width="11.44140625" style="218"/>
    <col min="4629" max="4629" width="2.6640625" style="218" customWidth="1"/>
    <col min="4630" max="4630" width="11.44140625" style="218"/>
    <col min="4631" max="4631" width="3.44140625" style="218" customWidth="1"/>
    <col min="4632" max="4868" width="11.44140625" style="218"/>
    <col min="4869" max="4869" width="1.33203125" style="218" customWidth="1"/>
    <col min="4870" max="4870" width="5.33203125" style="218" customWidth="1"/>
    <col min="4871" max="4871" width="8" style="218" customWidth="1"/>
    <col min="4872" max="4872" width="3.5546875" style="218" customWidth="1"/>
    <col min="4873" max="4873" width="1.33203125" style="218" customWidth="1"/>
    <col min="4874" max="4874" width="4.33203125" style="218" customWidth="1"/>
    <col min="4875" max="4875" width="1.33203125" style="218" customWidth="1"/>
    <col min="4876" max="4876" width="12.44140625" style="218" customWidth="1"/>
    <col min="4877" max="4877" width="1.5546875" style="218" customWidth="1"/>
    <col min="4878" max="4880" width="11.44140625" style="218"/>
    <col min="4881" max="4881" width="3" style="218" customWidth="1"/>
    <col min="4882" max="4882" width="11.44140625" style="218"/>
    <col min="4883" max="4883" width="2.109375" style="218" customWidth="1"/>
    <col min="4884" max="4884" width="11.44140625" style="218"/>
    <col min="4885" max="4885" width="2.6640625" style="218" customWidth="1"/>
    <col min="4886" max="4886" width="11.44140625" style="218"/>
    <col min="4887" max="4887" width="3.44140625" style="218" customWidth="1"/>
    <col min="4888" max="5124" width="11.44140625" style="218"/>
    <col min="5125" max="5125" width="1.33203125" style="218" customWidth="1"/>
    <col min="5126" max="5126" width="5.33203125" style="218" customWidth="1"/>
    <col min="5127" max="5127" width="8" style="218" customWidth="1"/>
    <col min="5128" max="5128" width="3.5546875" style="218" customWidth="1"/>
    <col min="5129" max="5129" width="1.33203125" style="218" customWidth="1"/>
    <col min="5130" max="5130" width="4.33203125" style="218" customWidth="1"/>
    <col min="5131" max="5131" width="1.33203125" style="218" customWidth="1"/>
    <col min="5132" max="5132" width="12.44140625" style="218" customWidth="1"/>
    <col min="5133" max="5133" width="1.5546875" style="218" customWidth="1"/>
    <col min="5134" max="5136" width="11.44140625" style="218"/>
    <col min="5137" max="5137" width="3" style="218" customWidth="1"/>
    <col min="5138" max="5138" width="11.44140625" style="218"/>
    <col min="5139" max="5139" width="2.109375" style="218" customWidth="1"/>
    <col min="5140" max="5140" width="11.44140625" style="218"/>
    <col min="5141" max="5141" width="2.6640625" style="218" customWidth="1"/>
    <col min="5142" max="5142" width="11.44140625" style="218"/>
    <col min="5143" max="5143" width="3.44140625" style="218" customWidth="1"/>
    <col min="5144" max="5380" width="11.44140625" style="218"/>
    <col min="5381" max="5381" width="1.33203125" style="218" customWidth="1"/>
    <col min="5382" max="5382" width="5.33203125" style="218" customWidth="1"/>
    <col min="5383" max="5383" width="8" style="218" customWidth="1"/>
    <col min="5384" max="5384" width="3.5546875" style="218" customWidth="1"/>
    <col min="5385" max="5385" width="1.33203125" style="218" customWidth="1"/>
    <col min="5386" max="5386" width="4.33203125" style="218" customWidth="1"/>
    <col min="5387" max="5387" width="1.33203125" style="218" customWidth="1"/>
    <col min="5388" max="5388" width="12.44140625" style="218" customWidth="1"/>
    <col min="5389" max="5389" width="1.5546875" style="218" customWidth="1"/>
    <col min="5390" max="5392" width="11.44140625" style="218"/>
    <col min="5393" max="5393" width="3" style="218" customWidth="1"/>
    <col min="5394" max="5394" width="11.44140625" style="218"/>
    <col min="5395" max="5395" width="2.109375" style="218" customWidth="1"/>
    <col min="5396" max="5396" width="11.44140625" style="218"/>
    <col min="5397" max="5397" width="2.6640625" style="218" customWidth="1"/>
    <col min="5398" max="5398" width="11.44140625" style="218"/>
    <col min="5399" max="5399" width="3.44140625" style="218" customWidth="1"/>
    <col min="5400" max="5636" width="11.44140625" style="218"/>
    <col min="5637" max="5637" width="1.33203125" style="218" customWidth="1"/>
    <col min="5638" max="5638" width="5.33203125" style="218" customWidth="1"/>
    <col min="5639" max="5639" width="8" style="218" customWidth="1"/>
    <col min="5640" max="5640" width="3.5546875" style="218" customWidth="1"/>
    <col min="5641" max="5641" width="1.33203125" style="218" customWidth="1"/>
    <col min="5642" max="5642" width="4.33203125" style="218" customWidth="1"/>
    <col min="5643" max="5643" width="1.33203125" style="218" customWidth="1"/>
    <col min="5644" max="5644" width="12.44140625" style="218" customWidth="1"/>
    <col min="5645" max="5645" width="1.5546875" style="218" customWidth="1"/>
    <col min="5646" max="5648" width="11.44140625" style="218"/>
    <col min="5649" max="5649" width="3" style="218" customWidth="1"/>
    <col min="5650" max="5650" width="11.44140625" style="218"/>
    <col min="5651" max="5651" width="2.109375" style="218" customWidth="1"/>
    <col min="5652" max="5652" width="11.44140625" style="218"/>
    <col min="5653" max="5653" width="2.6640625" style="218" customWidth="1"/>
    <col min="5654" max="5654" width="11.44140625" style="218"/>
    <col min="5655" max="5655" width="3.44140625" style="218" customWidth="1"/>
    <col min="5656" max="5892" width="11.44140625" style="218"/>
    <col min="5893" max="5893" width="1.33203125" style="218" customWidth="1"/>
    <col min="5894" max="5894" width="5.33203125" style="218" customWidth="1"/>
    <col min="5895" max="5895" width="8" style="218" customWidth="1"/>
    <col min="5896" max="5896" width="3.5546875" style="218" customWidth="1"/>
    <col min="5897" max="5897" width="1.33203125" style="218" customWidth="1"/>
    <col min="5898" max="5898" width="4.33203125" style="218" customWidth="1"/>
    <col min="5899" max="5899" width="1.33203125" style="218" customWidth="1"/>
    <col min="5900" max="5900" width="12.44140625" style="218" customWidth="1"/>
    <col min="5901" max="5901" width="1.5546875" style="218" customWidth="1"/>
    <col min="5902" max="5904" width="11.44140625" style="218"/>
    <col min="5905" max="5905" width="3" style="218" customWidth="1"/>
    <col min="5906" max="5906" width="11.44140625" style="218"/>
    <col min="5907" max="5907" width="2.109375" style="218" customWidth="1"/>
    <col min="5908" max="5908" width="11.44140625" style="218"/>
    <col min="5909" max="5909" width="2.6640625" style="218" customWidth="1"/>
    <col min="5910" max="5910" width="11.44140625" style="218"/>
    <col min="5911" max="5911" width="3.44140625" style="218" customWidth="1"/>
    <col min="5912" max="6148" width="11.44140625" style="218"/>
    <col min="6149" max="6149" width="1.33203125" style="218" customWidth="1"/>
    <col min="6150" max="6150" width="5.33203125" style="218" customWidth="1"/>
    <col min="6151" max="6151" width="8" style="218" customWidth="1"/>
    <col min="6152" max="6152" width="3.5546875" style="218" customWidth="1"/>
    <col min="6153" max="6153" width="1.33203125" style="218" customWidth="1"/>
    <col min="6154" max="6154" width="4.33203125" style="218" customWidth="1"/>
    <col min="6155" max="6155" width="1.33203125" style="218" customWidth="1"/>
    <col min="6156" max="6156" width="12.44140625" style="218" customWidth="1"/>
    <col min="6157" max="6157" width="1.5546875" style="218" customWidth="1"/>
    <col min="6158" max="6160" width="11.44140625" style="218"/>
    <col min="6161" max="6161" width="3" style="218" customWidth="1"/>
    <col min="6162" max="6162" width="11.44140625" style="218"/>
    <col min="6163" max="6163" width="2.109375" style="218" customWidth="1"/>
    <col min="6164" max="6164" width="11.44140625" style="218"/>
    <col min="6165" max="6165" width="2.6640625" style="218" customWidth="1"/>
    <col min="6166" max="6166" width="11.44140625" style="218"/>
    <col min="6167" max="6167" width="3.44140625" style="218" customWidth="1"/>
    <col min="6168" max="6404" width="11.44140625" style="218"/>
    <col min="6405" max="6405" width="1.33203125" style="218" customWidth="1"/>
    <col min="6406" max="6406" width="5.33203125" style="218" customWidth="1"/>
    <col min="6407" max="6407" width="8" style="218" customWidth="1"/>
    <col min="6408" max="6408" width="3.5546875" style="218" customWidth="1"/>
    <col min="6409" max="6409" width="1.33203125" style="218" customWidth="1"/>
    <col min="6410" max="6410" width="4.33203125" style="218" customWidth="1"/>
    <col min="6411" max="6411" width="1.33203125" style="218" customWidth="1"/>
    <col min="6412" max="6412" width="12.44140625" style="218" customWidth="1"/>
    <col min="6413" max="6413" width="1.5546875" style="218" customWidth="1"/>
    <col min="6414" max="6416" width="11.44140625" style="218"/>
    <col min="6417" max="6417" width="3" style="218" customWidth="1"/>
    <col min="6418" max="6418" width="11.44140625" style="218"/>
    <col min="6419" max="6419" width="2.109375" style="218" customWidth="1"/>
    <col min="6420" max="6420" width="11.44140625" style="218"/>
    <col min="6421" max="6421" width="2.6640625" style="218" customWidth="1"/>
    <col min="6422" max="6422" width="11.44140625" style="218"/>
    <col min="6423" max="6423" width="3.44140625" style="218" customWidth="1"/>
    <col min="6424" max="6660" width="11.44140625" style="218"/>
    <col min="6661" max="6661" width="1.33203125" style="218" customWidth="1"/>
    <col min="6662" max="6662" width="5.33203125" style="218" customWidth="1"/>
    <col min="6663" max="6663" width="8" style="218" customWidth="1"/>
    <col min="6664" max="6664" width="3.5546875" style="218" customWidth="1"/>
    <col min="6665" max="6665" width="1.33203125" style="218" customWidth="1"/>
    <col min="6666" max="6666" width="4.33203125" style="218" customWidth="1"/>
    <col min="6667" max="6667" width="1.33203125" style="218" customWidth="1"/>
    <col min="6668" max="6668" width="12.44140625" style="218" customWidth="1"/>
    <col min="6669" max="6669" width="1.5546875" style="218" customWidth="1"/>
    <col min="6670" max="6672" width="11.44140625" style="218"/>
    <col min="6673" max="6673" width="3" style="218" customWidth="1"/>
    <col min="6674" max="6674" width="11.44140625" style="218"/>
    <col min="6675" max="6675" width="2.109375" style="218" customWidth="1"/>
    <col min="6676" max="6676" width="11.44140625" style="218"/>
    <col min="6677" max="6677" width="2.6640625" style="218" customWidth="1"/>
    <col min="6678" max="6678" width="11.44140625" style="218"/>
    <col min="6679" max="6679" width="3.44140625" style="218" customWidth="1"/>
    <col min="6680" max="6916" width="11.44140625" style="218"/>
    <col min="6917" max="6917" width="1.33203125" style="218" customWidth="1"/>
    <col min="6918" max="6918" width="5.33203125" style="218" customWidth="1"/>
    <col min="6919" max="6919" width="8" style="218" customWidth="1"/>
    <col min="6920" max="6920" width="3.5546875" style="218" customWidth="1"/>
    <col min="6921" max="6921" width="1.33203125" style="218" customWidth="1"/>
    <col min="6922" max="6922" width="4.33203125" style="218" customWidth="1"/>
    <col min="6923" max="6923" width="1.33203125" style="218" customWidth="1"/>
    <col min="6924" max="6924" width="12.44140625" style="218" customWidth="1"/>
    <col min="6925" max="6925" width="1.5546875" style="218" customWidth="1"/>
    <col min="6926" max="6928" width="11.44140625" style="218"/>
    <col min="6929" max="6929" width="3" style="218" customWidth="1"/>
    <col min="6930" max="6930" width="11.44140625" style="218"/>
    <col min="6931" max="6931" width="2.109375" style="218" customWidth="1"/>
    <col min="6932" max="6932" width="11.44140625" style="218"/>
    <col min="6933" max="6933" width="2.6640625" style="218" customWidth="1"/>
    <col min="6934" max="6934" width="11.44140625" style="218"/>
    <col min="6935" max="6935" width="3.44140625" style="218" customWidth="1"/>
    <col min="6936" max="7172" width="11.44140625" style="218"/>
    <col min="7173" max="7173" width="1.33203125" style="218" customWidth="1"/>
    <col min="7174" max="7174" width="5.33203125" style="218" customWidth="1"/>
    <col min="7175" max="7175" width="8" style="218" customWidth="1"/>
    <col min="7176" max="7176" width="3.5546875" style="218" customWidth="1"/>
    <col min="7177" max="7177" width="1.33203125" style="218" customWidth="1"/>
    <col min="7178" max="7178" width="4.33203125" style="218" customWidth="1"/>
    <col min="7179" max="7179" width="1.33203125" style="218" customWidth="1"/>
    <col min="7180" max="7180" width="12.44140625" style="218" customWidth="1"/>
    <col min="7181" max="7181" width="1.5546875" style="218" customWidth="1"/>
    <col min="7182" max="7184" width="11.44140625" style="218"/>
    <col min="7185" max="7185" width="3" style="218" customWidth="1"/>
    <col min="7186" max="7186" width="11.44140625" style="218"/>
    <col min="7187" max="7187" width="2.109375" style="218" customWidth="1"/>
    <col min="7188" max="7188" width="11.44140625" style="218"/>
    <col min="7189" max="7189" width="2.6640625" style="218" customWidth="1"/>
    <col min="7190" max="7190" width="11.44140625" style="218"/>
    <col min="7191" max="7191" width="3.44140625" style="218" customWidth="1"/>
    <col min="7192" max="7428" width="11.44140625" style="218"/>
    <col min="7429" max="7429" width="1.33203125" style="218" customWidth="1"/>
    <col min="7430" max="7430" width="5.33203125" style="218" customWidth="1"/>
    <col min="7431" max="7431" width="8" style="218" customWidth="1"/>
    <col min="7432" max="7432" width="3.5546875" style="218" customWidth="1"/>
    <col min="7433" max="7433" width="1.33203125" style="218" customWidth="1"/>
    <col min="7434" max="7434" width="4.33203125" style="218" customWidth="1"/>
    <col min="7435" max="7435" width="1.33203125" style="218" customWidth="1"/>
    <col min="7436" max="7436" width="12.44140625" style="218" customWidth="1"/>
    <col min="7437" max="7437" width="1.5546875" style="218" customWidth="1"/>
    <col min="7438" max="7440" width="11.44140625" style="218"/>
    <col min="7441" max="7441" width="3" style="218" customWidth="1"/>
    <col min="7442" max="7442" width="11.44140625" style="218"/>
    <col min="7443" max="7443" width="2.109375" style="218" customWidth="1"/>
    <col min="7444" max="7444" width="11.44140625" style="218"/>
    <col min="7445" max="7445" width="2.6640625" style="218" customWidth="1"/>
    <col min="7446" max="7446" width="11.44140625" style="218"/>
    <col min="7447" max="7447" width="3.44140625" style="218" customWidth="1"/>
    <col min="7448" max="7684" width="11.44140625" style="218"/>
    <col min="7685" max="7685" width="1.33203125" style="218" customWidth="1"/>
    <col min="7686" max="7686" width="5.33203125" style="218" customWidth="1"/>
    <col min="7687" max="7687" width="8" style="218" customWidth="1"/>
    <col min="7688" max="7688" width="3.5546875" style="218" customWidth="1"/>
    <col min="7689" max="7689" width="1.33203125" style="218" customWidth="1"/>
    <col min="7690" max="7690" width="4.33203125" style="218" customWidth="1"/>
    <col min="7691" max="7691" width="1.33203125" style="218" customWidth="1"/>
    <col min="7692" max="7692" width="12.44140625" style="218" customWidth="1"/>
    <col min="7693" max="7693" width="1.5546875" style="218" customWidth="1"/>
    <col min="7694" max="7696" width="11.44140625" style="218"/>
    <col min="7697" max="7697" width="3" style="218" customWidth="1"/>
    <col min="7698" max="7698" width="11.44140625" style="218"/>
    <col min="7699" max="7699" width="2.109375" style="218" customWidth="1"/>
    <col min="7700" max="7700" width="11.44140625" style="218"/>
    <col min="7701" max="7701" width="2.6640625" style="218" customWidth="1"/>
    <col min="7702" max="7702" width="11.44140625" style="218"/>
    <col min="7703" max="7703" width="3.44140625" style="218" customWidth="1"/>
    <col min="7704" max="7940" width="11.44140625" style="218"/>
    <col min="7941" max="7941" width="1.33203125" style="218" customWidth="1"/>
    <col min="7942" max="7942" width="5.33203125" style="218" customWidth="1"/>
    <col min="7943" max="7943" width="8" style="218" customWidth="1"/>
    <col min="7944" max="7944" width="3.5546875" style="218" customWidth="1"/>
    <col min="7945" max="7945" width="1.33203125" style="218" customWidth="1"/>
    <col min="7946" max="7946" width="4.33203125" style="218" customWidth="1"/>
    <col min="7947" max="7947" width="1.33203125" style="218" customWidth="1"/>
    <col min="7948" max="7948" width="12.44140625" style="218" customWidth="1"/>
    <col min="7949" max="7949" width="1.5546875" style="218" customWidth="1"/>
    <col min="7950" max="7952" width="11.44140625" style="218"/>
    <col min="7953" max="7953" width="3" style="218" customWidth="1"/>
    <col min="7954" max="7954" width="11.44140625" style="218"/>
    <col min="7955" max="7955" width="2.109375" style="218" customWidth="1"/>
    <col min="7956" max="7956" width="11.44140625" style="218"/>
    <col min="7957" max="7957" width="2.6640625" style="218" customWidth="1"/>
    <col min="7958" max="7958" width="11.44140625" style="218"/>
    <col min="7959" max="7959" width="3.44140625" style="218" customWidth="1"/>
    <col min="7960" max="8196" width="11.44140625" style="218"/>
    <col min="8197" max="8197" width="1.33203125" style="218" customWidth="1"/>
    <col min="8198" max="8198" width="5.33203125" style="218" customWidth="1"/>
    <col min="8199" max="8199" width="8" style="218" customWidth="1"/>
    <col min="8200" max="8200" width="3.5546875" style="218" customWidth="1"/>
    <col min="8201" max="8201" width="1.33203125" style="218" customWidth="1"/>
    <col min="8202" max="8202" width="4.33203125" style="218" customWidth="1"/>
    <col min="8203" max="8203" width="1.33203125" style="218" customWidth="1"/>
    <col min="8204" max="8204" width="12.44140625" style="218" customWidth="1"/>
    <col min="8205" max="8205" width="1.5546875" style="218" customWidth="1"/>
    <col min="8206" max="8208" width="11.44140625" style="218"/>
    <col min="8209" max="8209" width="3" style="218" customWidth="1"/>
    <col min="8210" max="8210" width="11.44140625" style="218"/>
    <col min="8211" max="8211" width="2.109375" style="218" customWidth="1"/>
    <col min="8212" max="8212" width="11.44140625" style="218"/>
    <col min="8213" max="8213" width="2.6640625" style="218" customWidth="1"/>
    <col min="8214" max="8214" width="11.44140625" style="218"/>
    <col min="8215" max="8215" width="3.44140625" style="218" customWidth="1"/>
    <col min="8216" max="8452" width="11.44140625" style="218"/>
    <col min="8453" max="8453" width="1.33203125" style="218" customWidth="1"/>
    <col min="8454" max="8454" width="5.33203125" style="218" customWidth="1"/>
    <col min="8455" max="8455" width="8" style="218" customWidth="1"/>
    <col min="8456" max="8456" width="3.5546875" style="218" customWidth="1"/>
    <col min="8457" max="8457" width="1.33203125" style="218" customWidth="1"/>
    <col min="8458" max="8458" width="4.33203125" style="218" customWidth="1"/>
    <col min="8459" max="8459" width="1.33203125" style="218" customWidth="1"/>
    <col min="8460" max="8460" width="12.44140625" style="218" customWidth="1"/>
    <col min="8461" max="8461" width="1.5546875" style="218" customWidth="1"/>
    <col min="8462" max="8464" width="11.44140625" style="218"/>
    <col min="8465" max="8465" width="3" style="218" customWidth="1"/>
    <col min="8466" max="8466" width="11.44140625" style="218"/>
    <col min="8467" max="8467" width="2.109375" style="218" customWidth="1"/>
    <col min="8468" max="8468" width="11.44140625" style="218"/>
    <col min="8469" max="8469" width="2.6640625" style="218" customWidth="1"/>
    <col min="8470" max="8470" width="11.44140625" style="218"/>
    <col min="8471" max="8471" width="3.44140625" style="218" customWidth="1"/>
    <col min="8472" max="8708" width="11.44140625" style="218"/>
    <col min="8709" max="8709" width="1.33203125" style="218" customWidth="1"/>
    <col min="8710" max="8710" width="5.33203125" style="218" customWidth="1"/>
    <col min="8711" max="8711" width="8" style="218" customWidth="1"/>
    <col min="8712" max="8712" width="3.5546875" style="218" customWidth="1"/>
    <col min="8713" max="8713" width="1.33203125" style="218" customWidth="1"/>
    <col min="8714" max="8714" width="4.33203125" style="218" customWidth="1"/>
    <col min="8715" max="8715" width="1.33203125" style="218" customWidth="1"/>
    <col min="8716" max="8716" width="12.44140625" style="218" customWidth="1"/>
    <col min="8717" max="8717" width="1.5546875" style="218" customWidth="1"/>
    <col min="8718" max="8720" width="11.44140625" style="218"/>
    <col min="8721" max="8721" width="3" style="218" customWidth="1"/>
    <col min="8722" max="8722" width="11.44140625" style="218"/>
    <col min="8723" max="8723" width="2.109375" style="218" customWidth="1"/>
    <col min="8724" max="8724" width="11.44140625" style="218"/>
    <col min="8725" max="8725" width="2.6640625" style="218" customWidth="1"/>
    <col min="8726" max="8726" width="11.44140625" style="218"/>
    <col min="8727" max="8727" width="3.44140625" style="218" customWidth="1"/>
    <col min="8728" max="8964" width="11.44140625" style="218"/>
    <col min="8965" max="8965" width="1.33203125" style="218" customWidth="1"/>
    <col min="8966" max="8966" width="5.33203125" style="218" customWidth="1"/>
    <col min="8967" max="8967" width="8" style="218" customWidth="1"/>
    <col min="8968" max="8968" width="3.5546875" style="218" customWidth="1"/>
    <col min="8969" max="8969" width="1.33203125" style="218" customWidth="1"/>
    <col min="8970" max="8970" width="4.33203125" style="218" customWidth="1"/>
    <col min="8971" max="8971" width="1.33203125" style="218" customWidth="1"/>
    <col min="8972" max="8972" width="12.44140625" style="218" customWidth="1"/>
    <col min="8973" max="8973" width="1.5546875" style="218" customWidth="1"/>
    <col min="8974" max="8976" width="11.44140625" style="218"/>
    <col min="8977" max="8977" width="3" style="218" customWidth="1"/>
    <col min="8978" max="8978" width="11.44140625" style="218"/>
    <col min="8979" max="8979" width="2.109375" style="218" customWidth="1"/>
    <col min="8980" max="8980" width="11.44140625" style="218"/>
    <col min="8981" max="8981" width="2.6640625" style="218" customWidth="1"/>
    <col min="8982" max="8982" width="11.44140625" style="218"/>
    <col min="8983" max="8983" width="3.44140625" style="218" customWidth="1"/>
    <col min="8984" max="9220" width="11.44140625" style="218"/>
    <col min="9221" max="9221" width="1.33203125" style="218" customWidth="1"/>
    <col min="9222" max="9222" width="5.33203125" style="218" customWidth="1"/>
    <col min="9223" max="9223" width="8" style="218" customWidth="1"/>
    <col min="9224" max="9224" width="3.5546875" style="218" customWidth="1"/>
    <col min="9225" max="9225" width="1.33203125" style="218" customWidth="1"/>
    <col min="9226" max="9226" width="4.33203125" style="218" customWidth="1"/>
    <col min="9227" max="9227" width="1.33203125" style="218" customWidth="1"/>
    <col min="9228" max="9228" width="12.44140625" style="218" customWidth="1"/>
    <col min="9229" max="9229" width="1.5546875" style="218" customWidth="1"/>
    <col min="9230" max="9232" width="11.44140625" style="218"/>
    <col min="9233" max="9233" width="3" style="218" customWidth="1"/>
    <col min="9234" max="9234" width="11.44140625" style="218"/>
    <col min="9235" max="9235" width="2.109375" style="218" customWidth="1"/>
    <col min="9236" max="9236" width="11.44140625" style="218"/>
    <col min="9237" max="9237" width="2.6640625" style="218" customWidth="1"/>
    <col min="9238" max="9238" width="11.44140625" style="218"/>
    <col min="9239" max="9239" width="3.44140625" style="218" customWidth="1"/>
    <col min="9240" max="9476" width="11.44140625" style="218"/>
    <col min="9477" max="9477" width="1.33203125" style="218" customWidth="1"/>
    <col min="9478" max="9478" width="5.33203125" style="218" customWidth="1"/>
    <col min="9479" max="9479" width="8" style="218" customWidth="1"/>
    <col min="9480" max="9480" width="3.5546875" style="218" customWidth="1"/>
    <col min="9481" max="9481" width="1.33203125" style="218" customWidth="1"/>
    <col min="9482" max="9482" width="4.33203125" style="218" customWidth="1"/>
    <col min="9483" max="9483" width="1.33203125" style="218" customWidth="1"/>
    <col min="9484" max="9484" width="12.44140625" style="218" customWidth="1"/>
    <col min="9485" max="9485" width="1.5546875" style="218" customWidth="1"/>
    <col min="9486" max="9488" width="11.44140625" style="218"/>
    <col min="9489" max="9489" width="3" style="218" customWidth="1"/>
    <col min="9490" max="9490" width="11.44140625" style="218"/>
    <col min="9491" max="9491" width="2.109375" style="218" customWidth="1"/>
    <col min="9492" max="9492" width="11.44140625" style="218"/>
    <col min="9493" max="9493" width="2.6640625" style="218" customWidth="1"/>
    <col min="9494" max="9494" width="11.44140625" style="218"/>
    <col min="9495" max="9495" width="3.44140625" style="218" customWidth="1"/>
    <col min="9496" max="9732" width="11.44140625" style="218"/>
    <col min="9733" max="9733" width="1.33203125" style="218" customWidth="1"/>
    <col min="9734" max="9734" width="5.33203125" style="218" customWidth="1"/>
    <col min="9735" max="9735" width="8" style="218" customWidth="1"/>
    <col min="9736" max="9736" width="3.5546875" style="218" customWidth="1"/>
    <col min="9737" max="9737" width="1.33203125" style="218" customWidth="1"/>
    <col min="9738" max="9738" width="4.33203125" style="218" customWidth="1"/>
    <col min="9739" max="9739" width="1.33203125" style="218" customWidth="1"/>
    <col min="9740" max="9740" width="12.44140625" style="218" customWidth="1"/>
    <col min="9741" max="9741" width="1.5546875" style="218" customWidth="1"/>
    <col min="9742" max="9744" width="11.44140625" style="218"/>
    <col min="9745" max="9745" width="3" style="218" customWidth="1"/>
    <col min="9746" max="9746" width="11.44140625" style="218"/>
    <col min="9747" max="9747" width="2.109375" style="218" customWidth="1"/>
    <col min="9748" max="9748" width="11.44140625" style="218"/>
    <col min="9749" max="9749" width="2.6640625" style="218" customWidth="1"/>
    <col min="9750" max="9750" width="11.44140625" style="218"/>
    <col min="9751" max="9751" width="3.44140625" style="218" customWidth="1"/>
    <col min="9752" max="9988" width="11.44140625" style="218"/>
    <col min="9989" max="9989" width="1.33203125" style="218" customWidth="1"/>
    <col min="9990" max="9990" width="5.33203125" style="218" customWidth="1"/>
    <col min="9991" max="9991" width="8" style="218" customWidth="1"/>
    <col min="9992" max="9992" width="3.5546875" style="218" customWidth="1"/>
    <col min="9993" max="9993" width="1.33203125" style="218" customWidth="1"/>
    <col min="9994" max="9994" width="4.33203125" style="218" customWidth="1"/>
    <col min="9995" max="9995" width="1.33203125" style="218" customWidth="1"/>
    <col min="9996" max="9996" width="12.44140625" style="218" customWidth="1"/>
    <col min="9997" max="9997" width="1.5546875" style="218" customWidth="1"/>
    <col min="9998" max="10000" width="11.44140625" style="218"/>
    <col min="10001" max="10001" width="3" style="218" customWidth="1"/>
    <col min="10002" max="10002" width="11.44140625" style="218"/>
    <col min="10003" max="10003" width="2.109375" style="218" customWidth="1"/>
    <col min="10004" max="10004" width="11.44140625" style="218"/>
    <col min="10005" max="10005" width="2.6640625" style="218" customWidth="1"/>
    <col min="10006" max="10006" width="11.44140625" style="218"/>
    <col min="10007" max="10007" width="3.44140625" style="218" customWidth="1"/>
    <col min="10008" max="10244" width="11.44140625" style="218"/>
    <col min="10245" max="10245" width="1.33203125" style="218" customWidth="1"/>
    <col min="10246" max="10246" width="5.33203125" style="218" customWidth="1"/>
    <col min="10247" max="10247" width="8" style="218" customWidth="1"/>
    <col min="10248" max="10248" width="3.5546875" style="218" customWidth="1"/>
    <col min="10249" max="10249" width="1.33203125" style="218" customWidth="1"/>
    <col min="10250" max="10250" width="4.33203125" style="218" customWidth="1"/>
    <col min="10251" max="10251" width="1.33203125" style="218" customWidth="1"/>
    <col min="10252" max="10252" width="12.44140625" style="218" customWidth="1"/>
    <col min="10253" max="10253" width="1.5546875" style="218" customWidth="1"/>
    <col min="10254" max="10256" width="11.44140625" style="218"/>
    <col min="10257" max="10257" width="3" style="218" customWidth="1"/>
    <col min="10258" max="10258" width="11.44140625" style="218"/>
    <col min="10259" max="10259" width="2.109375" style="218" customWidth="1"/>
    <col min="10260" max="10260" width="11.44140625" style="218"/>
    <col min="10261" max="10261" width="2.6640625" style="218" customWidth="1"/>
    <col min="10262" max="10262" width="11.44140625" style="218"/>
    <col min="10263" max="10263" width="3.44140625" style="218" customWidth="1"/>
    <col min="10264" max="10500" width="11.44140625" style="218"/>
    <col min="10501" max="10501" width="1.33203125" style="218" customWidth="1"/>
    <col min="10502" max="10502" width="5.33203125" style="218" customWidth="1"/>
    <col min="10503" max="10503" width="8" style="218" customWidth="1"/>
    <col min="10504" max="10504" width="3.5546875" style="218" customWidth="1"/>
    <col min="10505" max="10505" width="1.33203125" style="218" customWidth="1"/>
    <col min="10506" max="10506" width="4.33203125" style="218" customWidth="1"/>
    <col min="10507" max="10507" width="1.33203125" style="218" customWidth="1"/>
    <col min="10508" max="10508" width="12.44140625" style="218" customWidth="1"/>
    <col min="10509" max="10509" width="1.5546875" style="218" customWidth="1"/>
    <col min="10510" max="10512" width="11.44140625" style="218"/>
    <col min="10513" max="10513" width="3" style="218" customWidth="1"/>
    <col min="10514" max="10514" width="11.44140625" style="218"/>
    <col min="10515" max="10515" width="2.109375" style="218" customWidth="1"/>
    <col min="10516" max="10516" width="11.44140625" style="218"/>
    <col min="10517" max="10517" width="2.6640625" style="218" customWidth="1"/>
    <col min="10518" max="10518" width="11.44140625" style="218"/>
    <col min="10519" max="10519" width="3.44140625" style="218" customWidth="1"/>
    <col min="10520" max="10756" width="11.44140625" style="218"/>
    <col min="10757" max="10757" width="1.33203125" style="218" customWidth="1"/>
    <col min="10758" max="10758" width="5.33203125" style="218" customWidth="1"/>
    <col min="10759" max="10759" width="8" style="218" customWidth="1"/>
    <col min="10760" max="10760" width="3.5546875" style="218" customWidth="1"/>
    <col min="10761" max="10761" width="1.33203125" style="218" customWidth="1"/>
    <col min="10762" max="10762" width="4.33203125" style="218" customWidth="1"/>
    <col min="10763" max="10763" width="1.33203125" style="218" customWidth="1"/>
    <col min="10764" max="10764" width="12.44140625" style="218" customWidth="1"/>
    <col min="10765" max="10765" width="1.5546875" style="218" customWidth="1"/>
    <col min="10766" max="10768" width="11.44140625" style="218"/>
    <col min="10769" max="10769" width="3" style="218" customWidth="1"/>
    <col min="10770" max="10770" width="11.44140625" style="218"/>
    <col min="10771" max="10771" width="2.109375" style="218" customWidth="1"/>
    <col min="10772" max="10772" width="11.44140625" style="218"/>
    <col min="10773" max="10773" width="2.6640625" style="218" customWidth="1"/>
    <col min="10774" max="10774" width="11.44140625" style="218"/>
    <col min="10775" max="10775" width="3.44140625" style="218" customWidth="1"/>
    <col min="10776" max="11012" width="11.44140625" style="218"/>
    <col min="11013" max="11013" width="1.33203125" style="218" customWidth="1"/>
    <col min="11014" max="11014" width="5.33203125" style="218" customWidth="1"/>
    <col min="11015" max="11015" width="8" style="218" customWidth="1"/>
    <col min="11016" max="11016" width="3.5546875" style="218" customWidth="1"/>
    <col min="11017" max="11017" width="1.33203125" style="218" customWidth="1"/>
    <col min="11018" max="11018" width="4.33203125" style="218" customWidth="1"/>
    <col min="11019" max="11019" width="1.33203125" style="218" customWidth="1"/>
    <col min="11020" max="11020" width="12.44140625" style="218" customWidth="1"/>
    <col min="11021" max="11021" width="1.5546875" style="218" customWidth="1"/>
    <col min="11022" max="11024" width="11.44140625" style="218"/>
    <col min="11025" max="11025" width="3" style="218" customWidth="1"/>
    <col min="11026" max="11026" width="11.44140625" style="218"/>
    <col min="11027" max="11027" width="2.109375" style="218" customWidth="1"/>
    <col min="11028" max="11028" width="11.44140625" style="218"/>
    <col min="11029" max="11029" width="2.6640625" style="218" customWidth="1"/>
    <col min="11030" max="11030" width="11.44140625" style="218"/>
    <col min="11031" max="11031" width="3.44140625" style="218" customWidth="1"/>
    <col min="11032" max="11268" width="11.44140625" style="218"/>
    <col min="11269" max="11269" width="1.33203125" style="218" customWidth="1"/>
    <col min="11270" max="11270" width="5.33203125" style="218" customWidth="1"/>
    <col min="11271" max="11271" width="8" style="218" customWidth="1"/>
    <col min="11272" max="11272" width="3.5546875" style="218" customWidth="1"/>
    <col min="11273" max="11273" width="1.33203125" style="218" customWidth="1"/>
    <col min="11274" max="11274" width="4.33203125" style="218" customWidth="1"/>
    <col min="11275" max="11275" width="1.33203125" style="218" customWidth="1"/>
    <col min="11276" max="11276" width="12.44140625" style="218" customWidth="1"/>
    <col min="11277" max="11277" width="1.5546875" style="218" customWidth="1"/>
    <col min="11278" max="11280" width="11.44140625" style="218"/>
    <col min="11281" max="11281" width="3" style="218" customWidth="1"/>
    <col min="11282" max="11282" width="11.44140625" style="218"/>
    <col min="11283" max="11283" width="2.109375" style="218" customWidth="1"/>
    <col min="11284" max="11284" width="11.44140625" style="218"/>
    <col min="11285" max="11285" width="2.6640625" style="218" customWidth="1"/>
    <col min="11286" max="11286" width="11.44140625" style="218"/>
    <col min="11287" max="11287" width="3.44140625" style="218" customWidth="1"/>
    <col min="11288" max="11524" width="11.44140625" style="218"/>
    <col min="11525" max="11525" width="1.33203125" style="218" customWidth="1"/>
    <col min="11526" max="11526" width="5.33203125" style="218" customWidth="1"/>
    <col min="11527" max="11527" width="8" style="218" customWidth="1"/>
    <col min="11528" max="11528" width="3.5546875" style="218" customWidth="1"/>
    <col min="11529" max="11529" width="1.33203125" style="218" customWidth="1"/>
    <col min="11530" max="11530" width="4.33203125" style="218" customWidth="1"/>
    <col min="11531" max="11531" width="1.33203125" style="218" customWidth="1"/>
    <col min="11532" max="11532" width="12.44140625" style="218" customWidth="1"/>
    <col min="11533" max="11533" width="1.5546875" style="218" customWidth="1"/>
    <col min="11534" max="11536" width="11.44140625" style="218"/>
    <col min="11537" max="11537" width="3" style="218" customWidth="1"/>
    <col min="11538" max="11538" width="11.44140625" style="218"/>
    <col min="11539" max="11539" width="2.109375" style="218" customWidth="1"/>
    <col min="11540" max="11540" width="11.44140625" style="218"/>
    <col min="11541" max="11541" width="2.6640625" style="218" customWidth="1"/>
    <col min="11542" max="11542" width="11.44140625" style="218"/>
    <col min="11543" max="11543" width="3.44140625" style="218" customWidth="1"/>
    <col min="11544" max="11780" width="11.44140625" style="218"/>
    <col min="11781" max="11781" width="1.33203125" style="218" customWidth="1"/>
    <col min="11782" max="11782" width="5.33203125" style="218" customWidth="1"/>
    <col min="11783" max="11783" width="8" style="218" customWidth="1"/>
    <col min="11784" max="11784" width="3.5546875" style="218" customWidth="1"/>
    <col min="11785" max="11785" width="1.33203125" style="218" customWidth="1"/>
    <col min="11786" max="11786" width="4.33203125" style="218" customWidth="1"/>
    <col min="11787" max="11787" width="1.33203125" style="218" customWidth="1"/>
    <col min="11788" max="11788" width="12.44140625" style="218" customWidth="1"/>
    <col min="11789" max="11789" width="1.5546875" style="218" customWidth="1"/>
    <col min="11790" max="11792" width="11.44140625" style="218"/>
    <col min="11793" max="11793" width="3" style="218" customWidth="1"/>
    <col min="11794" max="11794" width="11.44140625" style="218"/>
    <col min="11795" max="11795" width="2.109375" style="218" customWidth="1"/>
    <col min="11796" max="11796" width="11.44140625" style="218"/>
    <col min="11797" max="11797" width="2.6640625" style="218" customWidth="1"/>
    <col min="11798" max="11798" width="11.44140625" style="218"/>
    <col min="11799" max="11799" width="3.44140625" style="218" customWidth="1"/>
    <col min="11800" max="12036" width="11.44140625" style="218"/>
    <col min="12037" max="12037" width="1.33203125" style="218" customWidth="1"/>
    <col min="12038" max="12038" width="5.33203125" style="218" customWidth="1"/>
    <col min="12039" max="12039" width="8" style="218" customWidth="1"/>
    <col min="12040" max="12040" width="3.5546875" style="218" customWidth="1"/>
    <col min="12041" max="12041" width="1.33203125" style="218" customWidth="1"/>
    <col min="12042" max="12042" width="4.33203125" style="218" customWidth="1"/>
    <col min="12043" max="12043" width="1.33203125" style="218" customWidth="1"/>
    <col min="12044" max="12044" width="12.44140625" style="218" customWidth="1"/>
    <col min="12045" max="12045" width="1.5546875" style="218" customWidth="1"/>
    <col min="12046" max="12048" width="11.44140625" style="218"/>
    <col min="12049" max="12049" width="3" style="218" customWidth="1"/>
    <col min="12050" max="12050" width="11.44140625" style="218"/>
    <col min="12051" max="12051" width="2.109375" style="218" customWidth="1"/>
    <col min="12052" max="12052" width="11.44140625" style="218"/>
    <col min="12053" max="12053" width="2.6640625" style="218" customWidth="1"/>
    <col min="12054" max="12054" width="11.44140625" style="218"/>
    <col min="12055" max="12055" width="3.44140625" style="218" customWidth="1"/>
    <col min="12056" max="12292" width="11.44140625" style="218"/>
    <col min="12293" max="12293" width="1.33203125" style="218" customWidth="1"/>
    <col min="12294" max="12294" width="5.33203125" style="218" customWidth="1"/>
    <col min="12295" max="12295" width="8" style="218" customWidth="1"/>
    <col min="12296" max="12296" width="3.5546875" style="218" customWidth="1"/>
    <col min="12297" max="12297" width="1.33203125" style="218" customWidth="1"/>
    <col min="12298" max="12298" width="4.33203125" style="218" customWidth="1"/>
    <col min="12299" max="12299" width="1.33203125" style="218" customWidth="1"/>
    <col min="12300" max="12300" width="12.44140625" style="218" customWidth="1"/>
    <col min="12301" max="12301" width="1.5546875" style="218" customWidth="1"/>
    <col min="12302" max="12304" width="11.44140625" style="218"/>
    <col min="12305" max="12305" width="3" style="218" customWidth="1"/>
    <col min="12306" max="12306" width="11.44140625" style="218"/>
    <col min="12307" max="12307" width="2.109375" style="218" customWidth="1"/>
    <col min="12308" max="12308" width="11.44140625" style="218"/>
    <col min="12309" max="12309" width="2.6640625" style="218" customWidth="1"/>
    <col min="12310" max="12310" width="11.44140625" style="218"/>
    <col min="12311" max="12311" width="3.44140625" style="218" customWidth="1"/>
    <col min="12312" max="12548" width="11.44140625" style="218"/>
    <col min="12549" max="12549" width="1.33203125" style="218" customWidth="1"/>
    <col min="12550" max="12550" width="5.33203125" style="218" customWidth="1"/>
    <col min="12551" max="12551" width="8" style="218" customWidth="1"/>
    <col min="12552" max="12552" width="3.5546875" style="218" customWidth="1"/>
    <col min="12553" max="12553" width="1.33203125" style="218" customWidth="1"/>
    <col min="12554" max="12554" width="4.33203125" style="218" customWidth="1"/>
    <col min="12555" max="12555" width="1.33203125" style="218" customWidth="1"/>
    <col min="12556" max="12556" width="12.44140625" style="218" customWidth="1"/>
    <col min="12557" max="12557" width="1.5546875" style="218" customWidth="1"/>
    <col min="12558" max="12560" width="11.44140625" style="218"/>
    <col min="12561" max="12561" width="3" style="218" customWidth="1"/>
    <col min="12562" max="12562" width="11.44140625" style="218"/>
    <col min="12563" max="12563" width="2.109375" style="218" customWidth="1"/>
    <col min="12564" max="12564" width="11.44140625" style="218"/>
    <col min="12565" max="12565" width="2.6640625" style="218" customWidth="1"/>
    <col min="12566" max="12566" width="11.44140625" style="218"/>
    <col min="12567" max="12567" width="3.44140625" style="218" customWidth="1"/>
    <col min="12568" max="12804" width="11.44140625" style="218"/>
    <col min="12805" max="12805" width="1.33203125" style="218" customWidth="1"/>
    <col min="12806" max="12806" width="5.33203125" style="218" customWidth="1"/>
    <col min="12807" max="12807" width="8" style="218" customWidth="1"/>
    <col min="12808" max="12808" width="3.5546875" style="218" customWidth="1"/>
    <col min="12809" max="12809" width="1.33203125" style="218" customWidth="1"/>
    <col min="12810" max="12810" width="4.33203125" style="218" customWidth="1"/>
    <col min="12811" max="12811" width="1.33203125" style="218" customWidth="1"/>
    <col min="12812" max="12812" width="12.44140625" style="218" customWidth="1"/>
    <col min="12813" max="12813" width="1.5546875" style="218" customWidth="1"/>
    <col min="12814" max="12816" width="11.44140625" style="218"/>
    <col min="12817" max="12817" width="3" style="218" customWidth="1"/>
    <col min="12818" max="12818" width="11.44140625" style="218"/>
    <col min="12819" max="12819" width="2.109375" style="218" customWidth="1"/>
    <col min="12820" max="12820" width="11.44140625" style="218"/>
    <col min="12821" max="12821" width="2.6640625" style="218" customWidth="1"/>
    <col min="12822" max="12822" width="11.44140625" style="218"/>
    <col min="12823" max="12823" width="3.44140625" style="218" customWidth="1"/>
    <col min="12824" max="13060" width="11.44140625" style="218"/>
    <col min="13061" max="13061" width="1.33203125" style="218" customWidth="1"/>
    <col min="13062" max="13062" width="5.33203125" style="218" customWidth="1"/>
    <col min="13063" max="13063" width="8" style="218" customWidth="1"/>
    <col min="13064" max="13064" width="3.5546875" style="218" customWidth="1"/>
    <col min="13065" max="13065" width="1.33203125" style="218" customWidth="1"/>
    <col min="13066" max="13066" width="4.33203125" style="218" customWidth="1"/>
    <col min="13067" max="13067" width="1.33203125" style="218" customWidth="1"/>
    <col min="13068" max="13068" width="12.44140625" style="218" customWidth="1"/>
    <col min="13069" max="13069" width="1.5546875" style="218" customWidth="1"/>
    <col min="13070" max="13072" width="11.44140625" style="218"/>
    <col min="13073" max="13073" width="3" style="218" customWidth="1"/>
    <col min="13074" max="13074" width="11.44140625" style="218"/>
    <col min="13075" max="13075" width="2.109375" style="218" customWidth="1"/>
    <col min="13076" max="13076" width="11.44140625" style="218"/>
    <col min="13077" max="13077" width="2.6640625" style="218" customWidth="1"/>
    <col min="13078" max="13078" width="11.44140625" style="218"/>
    <col min="13079" max="13079" width="3.44140625" style="218" customWidth="1"/>
    <col min="13080" max="13316" width="11.44140625" style="218"/>
    <col min="13317" max="13317" width="1.33203125" style="218" customWidth="1"/>
    <col min="13318" max="13318" width="5.33203125" style="218" customWidth="1"/>
    <col min="13319" max="13319" width="8" style="218" customWidth="1"/>
    <col min="13320" max="13320" width="3.5546875" style="218" customWidth="1"/>
    <col min="13321" max="13321" width="1.33203125" style="218" customWidth="1"/>
    <col min="13322" max="13322" width="4.33203125" style="218" customWidth="1"/>
    <col min="13323" max="13323" width="1.33203125" style="218" customWidth="1"/>
    <col min="13324" max="13324" width="12.44140625" style="218" customWidth="1"/>
    <col min="13325" max="13325" width="1.5546875" style="218" customWidth="1"/>
    <col min="13326" max="13328" width="11.44140625" style="218"/>
    <col min="13329" max="13329" width="3" style="218" customWidth="1"/>
    <col min="13330" max="13330" width="11.44140625" style="218"/>
    <col min="13331" max="13331" width="2.109375" style="218" customWidth="1"/>
    <col min="13332" max="13332" width="11.44140625" style="218"/>
    <col min="13333" max="13333" width="2.6640625" style="218" customWidth="1"/>
    <col min="13334" max="13334" width="11.44140625" style="218"/>
    <col min="13335" max="13335" width="3.44140625" style="218" customWidth="1"/>
    <col min="13336" max="13572" width="11.44140625" style="218"/>
    <col min="13573" max="13573" width="1.33203125" style="218" customWidth="1"/>
    <col min="13574" max="13574" width="5.33203125" style="218" customWidth="1"/>
    <col min="13575" max="13575" width="8" style="218" customWidth="1"/>
    <col min="13576" max="13576" width="3.5546875" style="218" customWidth="1"/>
    <col min="13577" max="13577" width="1.33203125" style="218" customWidth="1"/>
    <col min="13578" max="13578" width="4.33203125" style="218" customWidth="1"/>
    <col min="13579" max="13579" width="1.33203125" style="218" customWidth="1"/>
    <col min="13580" max="13580" width="12.44140625" style="218" customWidth="1"/>
    <col min="13581" max="13581" width="1.5546875" style="218" customWidth="1"/>
    <col min="13582" max="13584" width="11.44140625" style="218"/>
    <col min="13585" max="13585" width="3" style="218" customWidth="1"/>
    <col min="13586" max="13586" width="11.44140625" style="218"/>
    <col min="13587" max="13587" width="2.109375" style="218" customWidth="1"/>
    <col min="13588" max="13588" width="11.44140625" style="218"/>
    <col min="13589" max="13589" width="2.6640625" style="218" customWidth="1"/>
    <col min="13590" max="13590" width="11.44140625" style="218"/>
    <col min="13591" max="13591" width="3.44140625" style="218" customWidth="1"/>
    <col min="13592" max="13828" width="11.44140625" style="218"/>
    <col min="13829" max="13829" width="1.33203125" style="218" customWidth="1"/>
    <col min="13830" max="13830" width="5.33203125" style="218" customWidth="1"/>
    <col min="13831" max="13831" width="8" style="218" customWidth="1"/>
    <col min="13832" max="13832" width="3.5546875" style="218" customWidth="1"/>
    <col min="13833" max="13833" width="1.33203125" style="218" customWidth="1"/>
    <col min="13834" max="13834" width="4.33203125" style="218" customWidth="1"/>
    <col min="13835" max="13835" width="1.33203125" style="218" customWidth="1"/>
    <col min="13836" max="13836" width="12.44140625" style="218" customWidth="1"/>
    <col min="13837" max="13837" width="1.5546875" style="218" customWidth="1"/>
    <col min="13838" max="13840" width="11.44140625" style="218"/>
    <col min="13841" max="13841" width="3" style="218" customWidth="1"/>
    <col min="13842" max="13842" width="11.44140625" style="218"/>
    <col min="13843" max="13843" width="2.109375" style="218" customWidth="1"/>
    <col min="13844" max="13844" width="11.44140625" style="218"/>
    <col min="13845" max="13845" width="2.6640625" style="218" customWidth="1"/>
    <col min="13846" max="13846" width="11.44140625" style="218"/>
    <col min="13847" max="13847" width="3.44140625" style="218" customWidth="1"/>
    <col min="13848" max="14084" width="11.44140625" style="218"/>
    <col min="14085" max="14085" width="1.33203125" style="218" customWidth="1"/>
    <col min="14086" max="14086" width="5.33203125" style="218" customWidth="1"/>
    <col min="14087" max="14087" width="8" style="218" customWidth="1"/>
    <col min="14088" max="14088" width="3.5546875" style="218" customWidth="1"/>
    <col min="14089" max="14089" width="1.33203125" style="218" customWidth="1"/>
    <col min="14090" max="14090" width="4.33203125" style="218" customWidth="1"/>
    <col min="14091" max="14091" width="1.33203125" style="218" customWidth="1"/>
    <col min="14092" max="14092" width="12.44140625" style="218" customWidth="1"/>
    <col min="14093" max="14093" width="1.5546875" style="218" customWidth="1"/>
    <col min="14094" max="14096" width="11.44140625" style="218"/>
    <col min="14097" max="14097" width="3" style="218" customWidth="1"/>
    <col min="14098" max="14098" width="11.44140625" style="218"/>
    <col min="14099" max="14099" width="2.109375" style="218" customWidth="1"/>
    <col min="14100" max="14100" width="11.44140625" style="218"/>
    <col min="14101" max="14101" width="2.6640625" style="218" customWidth="1"/>
    <col min="14102" max="14102" width="11.44140625" style="218"/>
    <col min="14103" max="14103" width="3.44140625" style="218" customWidth="1"/>
    <col min="14104" max="14340" width="11.44140625" style="218"/>
    <col min="14341" max="14341" width="1.33203125" style="218" customWidth="1"/>
    <col min="14342" max="14342" width="5.33203125" style="218" customWidth="1"/>
    <col min="14343" max="14343" width="8" style="218" customWidth="1"/>
    <col min="14344" max="14344" width="3.5546875" style="218" customWidth="1"/>
    <col min="14345" max="14345" width="1.33203125" style="218" customWidth="1"/>
    <col min="14346" max="14346" width="4.33203125" style="218" customWidth="1"/>
    <col min="14347" max="14347" width="1.33203125" style="218" customWidth="1"/>
    <col min="14348" max="14348" width="12.44140625" style="218" customWidth="1"/>
    <col min="14349" max="14349" width="1.5546875" style="218" customWidth="1"/>
    <col min="14350" max="14352" width="11.44140625" style="218"/>
    <col min="14353" max="14353" width="3" style="218" customWidth="1"/>
    <col min="14354" max="14354" width="11.44140625" style="218"/>
    <col min="14355" max="14355" width="2.109375" style="218" customWidth="1"/>
    <col min="14356" max="14356" width="11.44140625" style="218"/>
    <col min="14357" max="14357" width="2.6640625" style="218" customWidth="1"/>
    <col min="14358" max="14358" width="11.44140625" style="218"/>
    <col min="14359" max="14359" width="3.44140625" style="218" customWidth="1"/>
    <col min="14360" max="14596" width="11.44140625" style="218"/>
    <col min="14597" max="14597" width="1.33203125" style="218" customWidth="1"/>
    <col min="14598" max="14598" width="5.33203125" style="218" customWidth="1"/>
    <col min="14599" max="14599" width="8" style="218" customWidth="1"/>
    <col min="14600" max="14600" width="3.5546875" style="218" customWidth="1"/>
    <col min="14601" max="14601" width="1.33203125" style="218" customWidth="1"/>
    <col min="14602" max="14602" width="4.33203125" style="218" customWidth="1"/>
    <col min="14603" max="14603" width="1.33203125" style="218" customWidth="1"/>
    <col min="14604" max="14604" width="12.44140625" style="218" customWidth="1"/>
    <col min="14605" max="14605" width="1.5546875" style="218" customWidth="1"/>
    <col min="14606" max="14608" width="11.44140625" style="218"/>
    <col min="14609" max="14609" width="3" style="218" customWidth="1"/>
    <col min="14610" max="14610" width="11.44140625" style="218"/>
    <col min="14611" max="14611" width="2.109375" style="218" customWidth="1"/>
    <col min="14612" max="14612" width="11.44140625" style="218"/>
    <col min="14613" max="14613" width="2.6640625" style="218" customWidth="1"/>
    <col min="14614" max="14614" width="11.44140625" style="218"/>
    <col min="14615" max="14615" width="3.44140625" style="218" customWidth="1"/>
    <col min="14616" max="14852" width="11.44140625" style="218"/>
    <col min="14853" max="14853" width="1.33203125" style="218" customWidth="1"/>
    <col min="14854" max="14854" width="5.33203125" style="218" customWidth="1"/>
    <col min="14855" max="14855" width="8" style="218" customWidth="1"/>
    <col min="14856" max="14856" width="3.5546875" style="218" customWidth="1"/>
    <col min="14857" max="14857" width="1.33203125" style="218" customWidth="1"/>
    <col min="14858" max="14858" width="4.33203125" style="218" customWidth="1"/>
    <col min="14859" max="14859" width="1.33203125" style="218" customWidth="1"/>
    <col min="14860" max="14860" width="12.44140625" style="218" customWidth="1"/>
    <col min="14861" max="14861" width="1.5546875" style="218" customWidth="1"/>
    <col min="14862" max="14864" width="11.44140625" style="218"/>
    <col min="14865" max="14865" width="3" style="218" customWidth="1"/>
    <col min="14866" max="14866" width="11.44140625" style="218"/>
    <col min="14867" max="14867" width="2.109375" style="218" customWidth="1"/>
    <col min="14868" max="14868" width="11.44140625" style="218"/>
    <col min="14869" max="14869" width="2.6640625" style="218" customWidth="1"/>
    <col min="14870" max="14870" width="11.44140625" style="218"/>
    <col min="14871" max="14871" width="3.44140625" style="218" customWidth="1"/>
    <col min="14872" max="15108" width="11.44140625" style="218"/>
    <col min="15109" max="15109" width="1.33203125" style="218" customWidth="1"/>
    <col min="15110" max="15110" width="5.33203125" style="218" customWidth="1"/>
    <col min="15111" max="15111" width="8" style="218" customWidth="1"/>
    <col min="15112" max="15112" width="3.5546875" style="218" customWidth="1"/>
    <col min="15113" max="15113" width="1.33203125" style="218" customWidth="1"/>
    <col min="15114" max="15114" width="4.33203125" style="218" customWidth="1"/>
    <col min="15115" max="15115" width="1.33203125" style="218" customWidth="1"/>
    <col min="15116" max="15116" width="12.44140625" style="218" customWidth="1"/>
    <col min="15117" max="15117" width="1.5546875" style="218" customWidth="1"/>
    <col min="15118" max="15120" width="11.44140625" style="218"/>
    <col min="15121" max="15121" width="3" style="218" customWidth="1"/>
    <col min="15122" max="15122" width="11.44140625" style="218"/>
    <col min="15123" max="15123" width="2.109375" style="218" customWidth="1"/>
    <col min="15124" max="15124" width="11.44140625" style="218"/>
    <col min="15125" max="15125" width="2.6640625" style="218" customWidth="1"/>
    <col min="15126" max="15126" width="11.44140625" style="218"/>
    <col min="15127" max="15127" width="3.44140625" style="218" customWidth="1"/>
    <col min="15128" max="15364" width="11.44140625" style="218"/>
    <col min="15365" max="15365" width="1.33203125" style="218" customWidth="1"/>
    <col min="15366" max="15366" width="5.33203125" style="218" customWidth="1"/>
    <col min="15367" max="15367" width="8" style="218" customWidth="1"/>
    <col min="15368" max="15368" width="3.5546875" style="218" customWidth="1"/>
    <col min="15369" max="15369" width="1.33203125" style="218" customWidth="1"/>
    <col min="15370" max="15370" width="4.33203125" style="218" customWidth="1"/>
    <col min="15371" max="15371" width="1.33203125" style="218" customWidth="1"/>
    <col min="15372" max="15372" width="12.44140625" style="218" customWidth="1"/>
    <col min="15373" max="15373" width="1.5546875" style="218" customWidth="1"/>
    <col min="15374" max="15376" width="11.44140625" style="218"/>
    <col min="15377" max="15377" width="3" style="218" customWidth="1"/>
    <col min="15378" max="15378" width="11.44140625" style="218"/>
    <col min="15379" max="15379" width="2.109375" style="218" customWidth="1"/>
    <col min="15380" max="15380" width="11.44140625" style="218"/>
    <col min="15381" max="15381" width="2.6640625" style="218" customWidth="1"/>
    <col min="15382" max="15382" width="11.44140625" style="218"/>
    <col min="15383" max="15383" width="3.44140625" style="218" customWidth="1"/>
    <col min="15384" max="15620" width="11.44140625" style="218"/>
    <col min="15621" max="15621" width="1.33203125" style="218" customWidth="1"/>
    <col min="15622" max="15622" width="5.33203125" style="218" customWidth="1"/>
    <col min="15623" max="15623" width="8" style="218" customWidth="1"/>
    <col min="15624" max="15624" width="3.5546875" style="218" customWidth="1"/>
    <col min="15625" max="15625" width="1.33203125" style="218" customWidth="1"/>
    <col min="15626" max="15626" width="4.33203125" style="218" customWidth="1"/>
    <col min="15627" max="15627" width="1.33203125" style="218" customWidth="1"/>
    <col min="15628" max="15628" width="12.44140625" style="218" customWidth="1"/>
    <col min="15629" max="15629" width="1.5546875" style="218" customWidth="1"/>
    <col min="15630" max="15632" width="11.44140625" style="218"/>
    <col min="15633" max="15633" width="3" style="218" customWidth="1"/>
    <col min="15634" max="15634" width="11.44140625" style="218"/>
    <col min="15635" max="15635" width="2.109375" style="218" customWidth="1"/>
    <col min="15636" max="15636" width="11.44140625" style="218"/>
    <col min="15637" max="15637" width="2.6640625" style="218" customWidth="1"/>
    <col min="15638" max="15638" width="11.44140625" style="218"/>
    <col min="15639" max="15639" width="3.44140625" style="218" customWidth="1"/>
    <col min="15640" max="15876" width="11.44140625" style="218"/>
    <col min="15877" max="15877" width="1.33203125" style="218" customWidth="1"/>
    <col min="15878" max="15878" width="5.33203125" style="218" customWidth="1"/>
    <col min="15879" max="15879" width="8" style="218" customWidth="1"/>
    <col min="15880" max="15880" width="3.5546875" style="218" customWidth="1"/>
    <col min="15881" max="15881" width="1.33203125" style="218" customWidth="1"/>
    <col min="15882" max="15882" width="4.33203125" style="218" customWidth="1"/>
    <col min="15883" max="15883" width="1.33203125" style="218" customWidth="1"/>
    <col min="15884" max="15884" width="12.44140625" style="218" customWidth="1"/>
    <col min="15885" max="15885" width="1.5546875" style="218" customWidth="1"/>
    <col min="15886" max="15888" width="11.44140625" style="218"/>
    <col min="15889" max="15889" width="3" style="218" customWidth="1"/>
    <col min="15890" max="15890" width="11.44140625" style="218"/>
    <col min="15891" max="15891" width="2.109375" style="218" customWidth="1"/>
    <col min="15892" max="15892" width="11.44140625" style="218"/>
    <col min="15893" max="15893" width="2.6640625" style="218" customWidth="1"/>
    <col min="15894" max="15894" width="11.44140625" style="218"/>
    <col min="15895" max="15895" width="3.44140625" style="218" customWidth="1"/>
    <col min="15896" max="16132" width="11.44140625" style="218"/>
    <col min="16133" max="16133" width="1.33203125" style="218" customWidth="1"/>
    <col min="16134" max="16134" width="5.33203125" style="218" customWidth="1"/>
    <col min="16135" max="16135" width="8" style="218" customWidth="1"/>
    <col min="16136" max="16136" width="3.5546875" style="218" customWidth="1"/>
    <col min="16137" max="16137" width="1.33203125" style="218" customWidth="1"/>
    <col min="16138" max="16138" width="4.33203125" style="218" customWidth="1"/>
    <col min="16139" max="16139" width="1.33203125" style="218" customWidth="1"/>
    <col min="16140" max="16140" width="12.44140625" style="218" customWidth="1"/>
    <col min="16141" max="16141" width="1.5546875" style="218" customWidth="1"/>
    <col min="16142" max="16144" width="11.44140625" style="218"/>
    <col min="16145" max="16145" width="3" style="218" customWidth="1"/>
    <col min="16146" max="16146" width="11.44140625" style="218"/>
    <col min="16147" max="16147" width="2.109375" style="218" customWidth="1"/>
    <col min="16148" max="16148" width="11.44140625" style="218"/>
    <col min="16149" max="16149" width="2.6640625" style="218" customWidth="1"/>
    <col min="16150" max="16150" width="11.44140625" style="218"/>
    <col min="16151" max="16151" width="3.44140625" style="218" customWidth="1"/>
    <col min="16152" max="16384" width="11.44140625" style="218"/>
  </cols>
  <sheetData>
    <row r="1" spans="3:17" ht="19.95" customHeight="1" x14ac:dyDescent="0.25">
      <c r="C1" s="602" t="s">
        <v>447</v>
      </c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</row>
    <row r="3" spans="3:17" x14ac:dyDescent="0.25">
      <c r="C3" s="246" t="s">
        <v>335</v>
      </c>
      <c r="D3" s="409" t="s">
        <v>34</v>
      </c>
      <c r="E3" s="410"/>
      <c r="F3" s="410"/>
      <c r="G3" s="410"/>
      <c r="H3" s="410"/>
      <c r="I3" s="410"/>
      <c r="J3" s="410"/>
      <c r="K3" s="410"/>
      <c r="L3" s="409" t="s">
        <v>39</v>
      </c>
      <c r="M3" s="410"/>
      <c r="N3" s="411" t="s">
        <v>215</v>
      </c>
    </row>
    <row r="4" spans="3:17" x14ac:dyDescent="0.25">
      <c r="C4" s="388"/>
      <c r="D4" s="385"/>
      <c r="E4" s="385"/>
      <c r="F4" s="385"/>
      <c r="G4" s="385"/>
      <c r="H4" s="385"/>
      <c r="I4" s="385"/>
      <c r="J4" s="385"/>
      <c r="K4" s="385"/>
      <c r="L4" s="412" t="s">
        <v>19</v>
      </c>
      <c r="M4" s="385"/>
      <c r="N4" s="413"/>
    </row>
    <row r="5" spans="3:17" x14ac:dyDescent="0.25">
      <c r="C5" s="388"/>
      <c r="D5" s="385"/>
      <c r="E5" s="414"/>
      <c r="F5" s="414"/>
      <c r="G5" s="414"/>
      <c r="H5" s="414"/>
      <c r="I5" s="414"/>
      <c r="J5" s="414"/>
      <c r="K5" s="414"/>
      <c r="L5" s="412">
        <v>-1000</v>
      </c>
      <c r="M5" s="385"/>
      <c r="N5" s="415">
        <v>250</v>
      </c>
    </row>
    <row r="6" spans="3:17" ht="14.4" thickBot="1" x14ac:dyDescent="0.3">
      <c r="C6" s="388"/>
      <c r="D6" s="414"/>
      <c r="E6" s="414"/>
      <c r="F6" s="414"/>
      <c r="G6" s="414"/>
      <c r="H6" s="414"/>
      <c r="I6" s="414"/>
      <c r="J6" s="414"/>
      <c r="K6" s="414"/>
      <c r="L6" s="385"/>
      <c r="M6" s="385"/>
      <c r="N6" s="413"/>
    </row>
    <row r="7" spans="3:17" ht="10.199999999999999" customHeight="1" thickBot="1" x14ac:dyDescent="0.3">
      <c r="C7" s="388"/>
      <c r="D7" s="414"/>
      <c r="E7" s="414"/>
      <c r="F7" s="414"/>
      <c r="G7" s="414"/>
      <c r="H7" s="414"/>
      <c r="I7" s="416"/>
      <c r="J7" s="414"/>
      <c r="K7" s="414"/>
      <c r="L7" s="412"/>
      <c r="M7" s="385"/>
      <c r="N7" s="413"/>
    </row>
    <row r="8" spans="3:17" x14ac:dyDescent="0.25">
      <c r="C8" s="388"/>
      <c r="D8" s="414"/>
      <c r="E8" s="414"/>
      <c r="F8" s="414"/>
      <c r="G8" s="417">
        <v>0.5</v>
      </c>
      <c r="H8" s="414"/>
      <c r="I8" s="414"/>
      <c r="J8" s="414"/>
      <c r="K8" s="414"/>
      <c r="L8" s="412"/>
      <c r="M8" s="385"/>
      <c r="N8" s="415"/>
    </row>
    <row r="9" spans="3:17" x14ac:dyDescent="0.25">
      <c r="C9" s="388"/>
      <c r="D9" s="414"/>
      <c r="E9" s="414"/>
      <c r="F9" s="414"/>
      <c r="G9" s="412" t="s">
        <v>217</v>
      </c>
      <c r="H9" s="414"/>
      <c r="I9" s="414"/>
      <c r="J9" s="414"/>
      <c r="K9" s="414"/>
      <c r="L9" s="414"/>
      <c r="M9" s="385"/>
      <c r="N9" s="413"/>
    </row>
    <row r="10" spans="3:17" x14ac:dyDescent="0.25">
      <c r="C10" s="388"/>
      <c r="D10" s="414"/>
      <c r="E10" s="414"/>
      <c r="F10" s="414"/>
      <c r="G10" s="414"/>
      <c r="H10" s="414"/>
      <c r="I10" s="414"/>
      <c r="J10" s="414"/>
      <c r="K10" s="414"/>
      <c r="L10" s="177" t="s">
        <v>219</v>
      </c>
      <c r="M10" s="385"/>
      <c r="N10" s="413"/>
    </row>
    <row r="11" spans="3:17" x14ac:dyDescent="0.25">
      <c r="C11" s="388"/>
      <c r="D11" s="414"/>
      <c r="E11" s="414"/>
      <c r="F11" s="414"/>
      <c r="G11" s="414" t="s">
        <v>218</v>
      </c>
      <c r="H11" s="414"/>
      <c r="I11" s="414"/>
      <c r="J11" s="414"/>
      <c r="K11" s="414"/>
      <c r="L11" s="177">
        <v>0</v>
      </c>
      <c r="M11" s="385"/>
      <c r="N11" s="413"/>
      <c r="Q11" s="323"/>
    </row>
    <row r="12" spans="3:17" x14ac:dyDescent="0.25">
      <c r="C12" s="388"/>
      <c r="D12" s="412" t="s">
        <v>220</v>
      </c>
      <c r="E12" s="412"/>
      <c r="F12" s="414"/>
      <c r="G12" s="414"/>
      <c r="H12" s="414"/>
      <c r="I12" s="414"/>
      <c r="J12" s="414"/>
      <c r="K12" s="414"/>
      <c r="L12" s="385"/>
      <c r="M12" s="385"/>
      <c r="N12" s="413"/>
    </row>
    <row r="13" spans="3:17" x14ac:dyDescent="0.25">
      <c r="C13" s="388"/>
      <c r="D13" s="412">
        <v>-125</v>
      </c>
      <c r="E13" s="412"/>
      <c r="F13" s="414"/>
      <c r="G13" s="412" t="s">
        <v>221</v>
      </c>
      <c r="H13" s="414"/>
      <c r="I13" s="414"/>
      <c r="J13" s="414"/>
      <c r="K13" s="414"/>
      <c r="L13" s="177" t="s">
        <v>19</v>
      </c>
      <c r="M13" s="385"/>
      <c r="N13" s="413"/>
    </row>
    <row r="14" spans="3:17" ht="14.4" thickBot="1" x14ac:dyDescent="0.3">
      <c r="C14" s="388"/>
      <c r="D14" s="412"/>
      <c r="E14" s="412"/>
      <c r="F14" s="414"/>
      <c r="G14" s="417">
        <v>0.5</v>
      </c>
      <c r="H14" s="414"/>
      <c r="I14" s="414"/>
      <c r="J14" s="414"/>
      <c r="K14" s="414"/>
      <c r="L14" s="177">
        <v>-1000</v>
      </c>
      <c r="M14" s="385"/>
      <c r="N14" s="415">
        <v>75</v>
      </c>
    </row>
    <row r="15" spans="3:17" ht="13.2" customHeight="1" thickBot="1" x14ac:dyDescent="0.3">
      <c r="C15" s="388"/>
      <c r="D15" s="412"/>
      <c r="E15" s="418"/>
      <c r="F15" s="414"/>
      <c r="G15" s="414"/>
      <c r="H15" s="414"/>
      <c r="I15" s="416"/>
      <c r="J15" s="414"/>
      <c r="K15" s="414"/>
      <c r="L15" s="177"/>
      <c r="M15" s="385"/>
      <c r="N15" s="413"/>
    </row>
    <row r="16" spans="3:17" x14ac:dyDescent="0.25">
      <c r="C16" s="388"/>
      <c r="D16" s="412"/>
      <c r="E16" s="412"/>
      <c r="F16" s="414"/>
      <c r="G16" s="414"/>
      <c r="H16" s="414"/>
      <c r="I16" s="414"/>
      <c r="J16" s="414"/>
      <c r="K16" s="414"/>
      <c r="L16" s="177"/>
      <c r="M16" s="385"/>
      <c r="N16" s="419"/>
    </row>
    <row r="17" spans="3:24" x14ac:dyDescent="0.25">
      <c r="C17" s="388"/>
      <c r="D17" s="412" t="s">
        <v>222</v>
      </c>
      <c r="E17" s="412"/>
      <c r="F17" s="414"/>
      <c r="G17" s="414"/>
      <c r="H17" s="414"/>
      <c r="I17" s="414"/>
      <c r="J17" s="414"/>
      <c r="K17" s="414"/>
      <c r="L17" s="414"/>
      <c r="M17" s="385"/>
      <c r="N17" s="413"/>
    </row>
    <row r="18" spans="3:24" x14ac:dyDescent="0.25">
      <c r="C18" s="388"/>
      <c r="D18" s="414"/>
      <c r="E18" s="414"/>
      <c r="F18" s="414"/>
      <c r="G18" s="414"/>
      <c r="H18" s="414"/>
      <c r="I18" s="414"/>
      <c r="J18" s="414"/>
      <c r="K18" s="414"/>
      <c r="L18" s="414"/>
      <c r="M18" s="385"/>
      <c r="N18" s="413"/>
    </row>
    <row r="19" spans="3:24" x14ac:dyDescent="0.25">
      <c r="C19" s="388"/>
      <c r="D19" s="414"/>
      <c r="E19" s="414"/>
      <c r="F19" s="414"/>
      <c r="G19" s="414" t="s">
        <v>218</v>
      </c>
      <c r="H19" s="414"/>
      <c r="I19" s="414"/>
      <c r="J19" s="414"/>
      <c r="K19" s="414"/>
      <c r="L19" s="412" t="s">
        <v>219</v>
      </c>
      <c r="M19" s="385"/>
      <c r="N19" s="413"/>
    </row>
    <row r="20" spans="3:24" x14ac:dyDescent="0.25">
      <c r="C20" s="420"/>
      <c r="D20" s="421"/>
      <c r="E20" s="421"/>
      <c r="F20" s="421"/>
      <c r="G20" s="422" t="s">
        <v>223</v>
      </c>
      <c r="H20" s="421"/>
      <c r="I20" s="421"/>
      <c r="J20" s="421"/>
      <c r="K20" s="421"/>
      <c r="L20" s="422">
        <v>0</v>
      </c>
      <c r="M20" s="252"/>
      <c r="N20" s="253"/>
      <c r="P20" s="404"/>
      <c r="Q20" s="225"/>
      <c r="R20" s="364"/>
      <c r="S20" s="364"/>
      <c r="T20" s="405"/>
      <c r="U20" s="364"/>
      <c r="V20" s="364"/>
      <c r="W20" s="225"/>
      <c r="X20" s="406"/>
    </row>
    <row r="21" spans="3:24" ht="6.6" customHeight="1" x14ac:dyDescent="0.25">
      <c r="P21" s="407"/>
      <c r="Q21" s="225"/>
      <c r="R21" s="364"/>
      <c r="S21" s="364"/>
      <c r="T21" s="636"/>
      <c r="U21" s="636"/>
      <c r="V21" s="636"/>
      <c r="W21" s="225"/>
      <c r="X21" s="364"/>
    </row>
    <row r="22" spans="3:24" ht="6.6" customHeight="1" x14ac:dyDescent="0.25">
      <c r="P22" s="407"/>
      <c r="Q22" s="225"/>
      <c r="R22" s="225"/>
      <c r="S22" s="225"/>
      <c r="T22" s="225"/>
      <c r="U22" s="225"/>
      <c r="V22" s="225"/>
      <c r="W22" s="225"/>
      <c r="X22" s="225"/>
    </row>
    <row r="23" spans="3:24" ht="6.6" customHeight="1" x14ac:dyDescent="0.25"/>
    <row r="24" spans="3:24" ht="6.6" customHeight="1" x14ac:dyDescent="0.25"/>
    <row r="25" spans="3:24" x14ac:dyDescent="0.25">
      <c r="C25" s="246" t="s">
        <v>336</v>
      </c>
      <c r="D25" s="434" t="s">
        <v>34</v>
      </c>
      <c r="E25" s="410"/>
      <c r="F25" s="410"/>
      <c r="G25" s="410"/>
      <c r="H25" s="410"/>
      <c r="I25" s="410"/>
      <c r="J25" s="410"/>
      <c r="K25" s="410"/>
      <c r="L25" s="434" t="s">
        <v>39</v>
      </c>
      <c r="M25" s="410"/>
      <c r="N25" s="435" t="s">
        <v>215</v>
      </c>
      <c r="P25" s="246" t="s">
        <v>336</v>
      </c>
      <c r="Q25" s="410"/>
      <c r="R25" s="410"/>
      <c r="S25" s="410"/>
      <c r="T25" s="410"/>
      <c r="U25" s="410"/>
      <c r="V25" s="410"/>
      <c r="W25" s="410"/>
      <c r="X25" s="427"/>
    </row>
    <row r="26" spans="3:24" x14ac:dyDescent="0.25">
      <c r="C26" s="388"/>
      <c r="D26" s="385"/>
      <c r="E26" s="385"/>
      <c r="F26" s="385"/>
      <c r="G26" s="385"/>
      <c r="H26" s="385"/>
      <c r="I26" s="385"/>
      <c r="J26" s="385"/>
      <c r="K26" s="385"/>
      <c r="L26" s="385" t="s">
        <v>19</v>
      </c>
      <c r="M26" s="385"/>
      <c r="N26" s="413"/>
      <c r="P26" s="428"/>
      <c r="Q26" s="385"/>
      <c r="R26" s="385"/>
      <c r="S26" s="385"/>
      <c r="T26" s="385"/>
      <c r="U26" s="385"/>
      <c r="V26" s="385"/>
      <c r="W26" s="385"/>
      <c r="X26" s="413"/>
    </row>
    <row r="27" spans="3:24" x14ac:dyDescent="0.25">
      <c r="C27" s="388"/>
      <c r="D27" s="385"/>
      <c r="E27" s="392"/>
      <c r="F27" s="392"/>
      <c r="G27" s="392"/>
      <c r="H27" s="392"/>
      <c r="I27" s="392"/>
      <c r="J27" s="392"/>
      <c r="K27" s="392"/>
      <c r="L27" s="385">
        <v>-1000</v>
      </c>
      <c r="M27" s="385"/>
      <c r="N27" s="413">
        <v>250</v>
      </c>
      <c r="P27" s="428"/>
      <c r="Q27" s="634" t="s">
        <v>376</v>
      </c>
      <c r="R27" s="634"/>
      <c r="S27" s="385" t="s">
        <v>24</v>
      </c>
      <c r="T27" s="385">
        <v>-1000</v>
      </c>
      <c r="U27" s="385" t="s">
        <v>37</v>
      </c>
      <c r="V27" s="354">
        <v>250</v>
      </c>
      <c r="W27" s="628" t="s">
        <v>24</v>
      </c>
      <c r="X27" s="413">
        <f>+T27+V27/V28</f>
        <v>1500</v>
      </c>
    </row>
    <row r="28" spans="3:24" ht="14.4" thickBot="1" x14ac:dyDescent="0.3">
      <c r="C28" s="388"/>
      <c r="D28" s="392"/>
      <c r="E28" s="392"/>
      <c r="F28" s="392"/>
      <c r="G28" s="392"/>
      <c r="H28" s="392"/>
      <c r="I28" s="392"/>
      <c r="J28" s="392"/>
      <c r="K28" s="392"/>
      <c r="L28" s="385"/>
      <c r="M28" s="385"/>
      <c r="N28" s="413"/>
      <c r="P28" s="390" t="s">
        <v>217</v>
      </c>
      <c r="Q28" s="385"/>
      <c r="R28" s="385"/>
      <c r="S28" s="385"/>
      <c r="T28" s="385"/>
      <c r="U28" s="385"/>
      <c r="V28" s="387">
        <v>0.1</v>
      </c>
      <c r="W28" s="628"/>
      <c r="X28" s="413"/>
    </row>
    <row r="29" spans="3:24" ht="14.4" thickBot="1" x14ac:dyDescent="0.3">
      <c r="C29" s="388"/>
      <c r="D29" s="392"/>
      <c r="E29" s="392"/>
      <c r="F29" s="392"/>
      <c r="G29" s="392"/>
      <c r="H29" s="392"/>
      <c r="I29" s="424"/>
      <c r="J29" s="392"/>
      <c r="K29" s="392"/>
      <c r="L29" s="392" t="s">
        <v>216</v>
      </c>
      <c r="M29" s="392"/>
      <c r="N29" s="429">
        <f>+L27+(N27/0.1)</f>
        <v>1500</v>
      </c>
      <c r="P29" s="390"/>
      <c r="Q29" s="634" t="s">
        <v>375</v>
      </c>
      <c r="R29" s="634"/>
      <c r="S29" s="385" t="s">
        <v>24</v>
      </c>
      <c r="T29" s="392">
        <v>0</v>
      </c>
      <c r="U29" s="385"/>
      <c r="V29" s="385"/>
      <c r="W29" s="385"/>
      <c r="X29" s="413"/>
    </row>
    <row r="30" spans="3:24" x14ac:dyDescent="0.25">
      <c r="C30" s="388"/>
      <c r="D30" s="392"/>
      <c r="E30" s="392"/>
      <c r="F30" s="392"/>
      <c r="G30" s="373">
        <v>0.5</v>
      </c>
      <c r="H30" s="392"/>
      <c r="I30" s="392"/>
      <c r="J30" s="392"/>
      <c r="K30" s="392"/>
      <c r="L30" s="385"/>
      <c r="M30" s="385"/>
      <c r="N30" s="413"/>
      <c r="P30" s="390"/>
      <c r="Q30" s="385"/>
      <c r="R30" s="385"/>
      <c r="S30" s="385"/>
      <c r="T30" s="385"/>
      <c r="U30" s="385"/>
      <c r="V30" s="385"/>
      <c r="W30" s="385"/>
      <c r="X30" s="413"/>
    </row>
    <row r="31" spans="3:24" x14ac:dyDescent="0.25">
      <c r="C31" s="388"/>
      <c r="D31" s="392"/>
      <c r="E31" s="392"/>
      <c r="F31" s="392"/>
      <c r="G31" s="385" t="s">
        <v>217</v>
      </c>
      <c r="H31" s="392"/>
      <c r="I31" s="392"/>
      <c r="J31" s="392"/>
      <c r="K31" s="392"/>
      <c r="L31" s="392"/>
      <c r="M31" s="385"/>
      <c r="N31" s="413"/>
      <c r="P31" s="390"/>
      <c r="Q31" s="634" t="s">
        <v>376</v>
      </c>
      <c r="R31" s="634"/>
      <c r="S31" s="385" t="s">
        <v>24</v>
      </c>
      <c r="T31" s="385">
        <v>-1000</v>
      </c>
      <c r="U31" s="385" t="s">
        <v>37</v>
      </c>
      <c r="V31" s="354">
        <v>75</v>
      </c>
      <c r="W31" s="628" t="s">
        <v>24</v>
      </c>
      <c r="X31" s="429">
        <f>+T31+(V31/V32)</f>
        <v>-250</v>
      </c>
    </row>
    <row r="32" spans="3:24" x14ac:dyDescent="0.25">
      <c r="C32" s="388"/>
      <c r="D32" s="392"/>
      <c r="E32" s="392"/>
      <c r="F32" s="392"/>
      <c r="G32" s="392"/>
      <c r="H32" s="392"/>
      <c r="I32" s="392"/>
      <c r="J32" s="392"/>
      <c r="K32" s="392"/>
      <c r="L32" s="573" t="s">
        <v>219</v>
      </c>
      <c r="M32" s="569"/>
      <c r="N32" s="572"/>
      <c r="P32" s="390" t="s">
        <v>221</v>
      </c>
      <c r="Q32" s="385"/>
      <c r="R32" s="385"/>
      <c r="S32" s="385"/>
      <c r="T32" s="385"/>
      <c r="U32" s="385"/>
      <c r="V32" s="387">
        <v>0.1</v>
      </c>
      <c r="W32" s="628"/>
      <c r="X32" s="413"/>
    </row>
    <row r="33" spans="3:24" x14ac:dyDescent="0.25">
      <c r="C33" s="388"/>
      <c r="D33" s="392"/>
      <c r="E33" s="392"/>
      <c r="F33" s="392"/>
      <c r="G33" s="392" t="s">
        <v>218</v>
      </c>
      <c r="H33" s="392"/>
      <c r="I33" s="392"/>
      <c r="J33" s="392"/>
      <c r="K33" s="392"/>
      <c r="L33" s="573">
        <v>0</v>
      </c>
      <c r="M33" s="569"/>
      <c r="N33" s="572"/>
      <c r="P33" s="430"/>
      <c r="Q33" s="635" t="s">
        <v>375</v>
      </c>
      <c r="R33" s="635"/>
      <c r="S33" s="252" t="s">
        <v>24</v>
      </c>
      <c r="T33" s="252">
        <v>0</v>
      </c>
      <c r="U33" s="252"/>
      <c r="V33" s="252"/>
      <c r="W33" s="252"/>
      <c r="X33" s="253"/>
    </row>
    <row r="34" spans="3:24" x14ac:dyDescent="0.25">
      <c r="C34" s="388"/>
      <c r="D34" s="385" t="s">
        <v>220</v>
      </c>
      <c r="E34" s="385"/>
      <c r="F34" s="392"/>
      <c r="G34" s="392"/>
      <c r="H34" s="392"/>
      <c r="I34" s="392"/>
      <c r="J34" s="392"/>
      <c r="K34" s="392"/>
      <c r="L34" s="573" t="s">
        <v>19</v>
      </c>
      <c r="M34" s="569"/>
      <c r="N34" s="572"/>
    </row>
    <row r="35" spans="3:24" x14ac:dyDescent="0.25">
      <c r="C35" s="388"/>
      <c r="D35" s="385">
        <v>-125</v>
      </c>
      <c r="E35" s="385"/>
      <c r="F35" s="392"/>
      <c r="G35" s="385" t="s">
        <v>221</v>
      </c>
      <c r="H35" s="392"/>
      <c r="I35" s="392"/>
      <c r="J35" s="392"/>
      <c r="K35" s="392"/>
      <c r="L35" s="573">
        <v>-1000</v>
      </c>
      <c r="M35" s="569"/>
      <c r="N35" s="572">
        <v>75</v>
      </c>
      <c r="P35" s="218"/>
    </row>
    <row r="36" spans="3:24" ht="14.4" thickBot="1" x14ac:dyDescent="0.3">
      <c r="C36" s="388"/>
      <c r="D36" s="385"/>
      <c r="E36" s="385"/>
      <c r="F36" s="392"/>
      <c r="G36" s="373">
        <v>0.5</v>
      </c>
      <c r="H36" s="392"/>
      <c r="I36" s="392"/>
      <c r="J36" s="392"/>
      <c r="K36" s="392"/>
      <c r="L36" s="573"/>
      <c r="M36" s="569"/>
      <c r="N36" s="572"/>
      <c r="P36" s="218"/>
    </row>
    <row r="37" spans="3:24" ht="14.4" thickBot="1" x14ac:dyDescent="0.3">
      <c r="C37" s="388"/>
      <c r="D37" s="385"/>
      <c r="E37" s="425"/>
      <c r="F37" s="392"/>
      <c r="G37" s="392"/>
      <c r="H37" s="392"/>
      <c r="I37" s="424"/>
      <c r="J37" s="392"/>
      <c r="K37" s="392"/>
      <c r="L37" s="574" t="s">
        <v>27</v>
      </c>
      <c r="M37" s="569"/>
      <c r="N37" s="575">
        <f>+L35+(N35/0.1)</f>
        <v>-250</v>
      </c>
      <c r="P37" s="246" t="s">
        <v>337</v>
      </c>
      <c r="Q37" s="410"/>
      <c r="R37" s="410"/>
      <c r="S37" s="410"/>
      <c r="T37" s="410"/>
      <c r="U37" s="410"/>
      <c r="V37" s="410"/>
      <c r="W37" s="410"/>
      <c r="X37" s="427"/>
    </row>
    <row r="38" spans="3:24" ht="14.4" thickBot="1" x14ac:dyDescent="0.3">
      <c r="C38" s="388"/>
      <c r="D38" s="385"/>
      <c r="E38" s="385"/>
      <c r="F38" s="392"/>
      <c r="G38" s="392"/>
      <c r="H38" s="392"/>
      <c r="I38" s="392"/>
      <c r="J38" s="392"/>
      <c r="K38" s="392"/>
      <c r="L38" s="385"/>
      <c r="M38" s="385"/>
      <c r="N38" s="413"/>
      <c r="P38" s="388" t="s">
        <v>27</v>
      </c>
      <c r="Q38" s="385" t="s">
        <v>24</v>
      </c>
      <c r="R38" s="349">
        <v>-125</v>
      </c>
      <c r="S38" s="349" t="s">
        <v>37</v>
      </c>
      <c r="T38" s="431" t="s">
        <v>225</v>
      </c>
      <c r="U38" s="432" t="s">
        <v>37</v>
      </c>
      <c r="V38" s="433" t="s">
        <v>226</v>
      </c>
      <c r="W38" s="638" t="s">
        <v>24</v>
      </c>
      <c r="X38" s="429">
        <f>+R38+(0.5*1500+0.5*0)/(1+10%)</f>
        <v>556.81818181818176</v>
      </c>
    </row>
    <row r="39" spans="3:24" ht="27.6" x14ac:dyDescent="0.25">
      <c r="C39" s="388"/>
      <c r="D39" s="385" t="s">
        <v>222</v>
      </c>
      <c r="E39" s="385"/>
      <c r="F39" s="392"/>
      <c r="G39" s="392"/>
      <c r="H39" s="392"/>
      <c r="I39" s="392"/>
      <c r="J39" s="392"/>
      <c r="K39" s="392"/>
      <c r="L39" s="392"/>
      <c r="M39" s="385"/>
      <c r="N39" s="413"/>
      <c r="P39" s="430" t="s">
        <v>224</v>
      </c>
      <c r="Q39" s="252"/>
      <c r="R39" s="252"/>
      <c r="S39" s="252"/>
      <c r="T39" s="637" t="s">
        <v>448</v>
      </c>
      <c r="U39" s="637"/>
      <c r="V39" s="637"/>
      <c r="W39" s="639"/>
      <c r="X39" s="253"/>
    </row>
    <row r="40" spans="3:24" x14ac:dyDescent="0.25">
      <c r="C40" s="388"/>
      <c r="D40" s="392"/>
      <c r="E40" s="392"/>
      <c r="F40" s="392"/>
      <c r="G40" s="392"/>
      <c r="H40" s="392"/>
      <c r="I40" s="392"/>
      <c r="J40" s="392"/>
      <c r="K40" s="392"/>
      <c r="L40" s="392"/>
      <c r="M40" s="385"/>
      <c r="N40" s="413"/>
    </row>
    <row r="41" spans="3:24" x14ac:dyDescent="0.25">
      <c r="C41" s="388"/>
      <c r="D41" s="392"/>
      <c r="E41" s="392"/>
      <c r="F41" s="392"/>
      <c r="G41" s="392" t="s">
        <v>218</v>
      </c>
      <c r="H41" s="392"/>
      <c r="I41" s="392"/>
      <c r="J41" s="392"/>
      <c r="K41" s="392"/>
      <c r="L41" s="385" t="s">
        <v>219</v>
      </c>
      <c r="M41" s="385"/>
      <c r="N41" s="413"/>
    </row>
    <row r="42" spans="3:24" x14ac:dyDescent="0.25">
      <c r="C42" s="388"/>
      <c r="D42" s="392"/>
      <c r="E42" s="392"/>
      <c r="F42" s="392"/>
      <c r="G42" s="385" t="s">
        <v>223</v>
      </c>
      <c r="H42" s="392"/>
      <c r="I42" s="392"/>
      <c r="J42" s="392"/>
      <c r="K42" s="392"/>
      <c r="L42" s="385">
        <v>0</v>
      </c>
      <c r="M42" s="385"/>
      <c r="N42" s="413"/>
    </row>
    <row r="43" spans="3:24" x14ac:dyDescent="0.25">
      <c r="C43" s="420"/>
      <c r="D43" s="395"/>
      <c r="E43" s="395"/>
      <c r="F43" s="395"/>
      <c r="G43" s="395"/>
      <c r="H43" s="395"/>
      <c r="I43" s="395"/>
      <c r="J43" s="395"/>
      <c r="K43" s="395"/>
      <c r="L43" s="252"/>
      <c r="M43" s="252"/>
      <c r="N43" s="253"/>
    </row>
    <row r="46" spans="3:24" ht="15" customHeight="1" x14ac:dyDescent="0.25"/>
    <row r="47" spans="3:24" ht="14.4" customHeight="1" x14ac:dyDescent="0.25"/>
    <row r="49" ht="14.4" customHeight="1" x14ac:dyDescent="0.25"/>
    <row r="51" ht="14.4" customHeight="1" x14ac:dyDescent="0.25"/>
    <row r="53" ht="14.4" customHeight="1" x14ac:dyDescent="0.25"/>
    <row r="54" ht="3.6" customHeight="1" x14ac:dyDescent="0.25"/>
    <row r="55" ht="3.6" customHeight="1" x14ac:dyDescent="0.25"/>
    <row r="56" ht="3.6" customHeight="1" x14ac:dyDescent="0.25"/>
  </sheetData>
  <sheetProtection algorithmName="SHA-512" hashValue="XMagx4DFlJNxr4cRnU/AcUAbJGZz0VjWGUXpkv9Cr1RxMBf5vdgTqy0VErn941+6sDhOTrhQTTB3I9QELTLOZw==" saltValue="BTtMSqOaXMfW9NNAC6UI/A==" spinCount="100000" sheet="1" objects="1" scenarios="1"/>
  <mergeCells count="10">
    <mergeCell ref="T21:V21"/>
    <mergeCell ref="T39:V39"/>
    <mergeCell ref="W38:W39"/>
    <mergeCell ref="W27:W28"/>
    <mergeCell ref="W31:W32"/>
    <mergeCell ref="C1:N1"/>
    <mergeCell ref="Q27:R27"/>
    <mergeCell ref="Q29:R29"/>
    <mergeCell ref="Q31:R31"/>
    <mergeCell ref="Q33:R33"/>
  </mergeCells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3"/>
  <sheetViews>
    <sheetView zoomScaleNormal="100" workbookViewId="0">
      <selection activeCell="F15" sqref="F15"/>
    </sheetView>
  </sheetViews>
  <sheetFormatPr baseColWidth="10" defaultColWidth="11.44140625" defaultRowHeight="13.8" x14ac:dyDescent="0.25"/>
  <cols>
    <col min="1" max="1" width="16.6640625" style="6" customWidth="1"/>
    <col min="2" max="2" width="6" style="6" customWidth="1"/>
    <col min="3" max="3" width="23" style="6" customWidth="1"/>
    <col min="4" max="4" width="13.109375" style="6" customWidth="1"/>
    <col min="5" max="14" width="11.5546875" style="6" bestFit="1" customWidth="1"/>
    <col min="15" max="16384" width="11.44140625" style="6"/>
  </cols>
  <sheetData>
    <row r="1" spans="3:14" ht="19.95" customHeight="1" x14ac:dyDescent="0.25">
      <c r="C1" s="583" t="s">
        <v>422</v>
      </c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</row>
    <row r="3" spans="3:14" ht="14.4" customHeight="1" x14ac:dyDescent="0.25">
      <c r="C3" s="584" t="s">
        <v>275</v>
      </c>
      <c r="D3" s="585"/>
    </row>
    <row r="4" spans="3:14" x14ac:dyDescent="0.25">
      <c r="C4" s="586"/>
      <c r="D4" s="587"/>
      <c r="E4" s="7"/>
    </row>
    <row r="5" spans="3:14" x14ac:dyDescent="0.25">
      <c r="C5" s="19" t="s">
        <v>19</v>
      </c>
      <c r="D5" s="20">
        <v>250000</v>
      </c>
      <c r="E5" s="7"/>
    </row>
    <row r="6" spans="3:14" x14ac:dyDescent="0.25">
      <c r="C6" s="19" t="s">
        <v>87</v>
      </c>
      <c r="D6" s="20">
        <v>50</v>
      </c>
      <c r="E6" s="7"/>
    </row>
    <row r="7" spans="3:14" x14ac:dyDescent="0.25">
      <c r="C7" s="19" t="s">
        <v>161</v>
      </c>
      <c r="D7" s="21">
        <v>5000</v>
      </c>
      <c r="E7" s="7"/>
    </row>
    <row r="8" spans="3:14" x14ac:dyDescent="0.25">
      <c r="C8" s="19" t="s">
        <v>51</v>
      </c>
      <c r="D8" s="20">
        <v>25</v>
      </c>
      <c r="E8" s="7"/>
    </row>
    <row r="9" spans="3:14" x14ac:dyDescent="0.25">
      <c r="C9" s="19" t="s">
        <v>52</v>
      </c>
      <c r="D9" s="22">
        <v>0.1</v>
      </c>
      <c r="E9" s="7"/>
    </row>
    <row r="10" spans="3:14" x14ac:dyDescent="0.25">
      <c r="C10" s="19" t="s">
        <v>53</v>
      </c>
      <c r="D10" s="22">
        <v>0.4</v>
      </c>
      <c r="E10" s="7"/>
    </row>
    <row r="11" spans="3:14" x14ac:dyDescent="0.25">
      <c r="C11" s="19" t="s">
        <v>31</v>
      </c>
      <c r="D11" s="22">
        <v>0.12</v>
      </c>
      <c r="E11" s="7"/>
    </row>
    <row r="12" spans="3:14" x14ac:dyDescent="0.25">
      <c r="C12" s="23"/>
      <c r="D12" s="24"/>
      <c r="E12" s="7"/>
    </row>
    <row r="14" spans="3:14" x14ac:dyDescent="0.25">
      <c r="C14" s="27" t="s">
        <v>171</v>
      </c>
      <c r="D14" s="28" t="s">
        <v>34</v>
      </c>
      <c r="E14" s="28" t="s">
        <v>39</v>
      </c>
      <c r="F14" s="28" t="s">
        <v>40</v>
      </c>
      <c r="G14" s="28" t="s">
        <v>41</v>
      </c>
      <c r="H14" s="28" t="s">
        <v>42</v>
      </c>
      <c r="I14" s="28" t="s">
        <v>43</v>
      </c>
      <c r="J14" s="28" t="s">
        <v>44</v>
      </c>
      <c r="K14" s="28" t="s">
        <v>45</v>
      </c>
      <c r="L14" s="28" t="s">
        <v>46</v>
      </c>
      <c r="M14" s="28" t="s">
        <v>47</v>
      </c>
      <c r="N14" s="29" t="s">
        <v>48</v>
      </c>
    </row>
    <row r="15" spans="3:14" x14ac:dyDescent="0.25">
      <c r="C15" s="19" t="s">
        <v>15</v>
      </c>
      <c r="D15" s="13"/>
      <c r="E15" s="13">
        <f>+$D$6*$D$7</f>
        <v>250000</v>
      </c>
      <c r="F15" s="13">
        <f t="shared" ref="F15:N15" si="0">+$D$6*$D$7</f>
        <v>250000</v>
      </c>
      <c r="G15" s="13">
        <f t="shared" si="0"/>
        <v>250000</v>
      </c>
      <c r="H15" s="13">
        <f t="shared" si="0"/>
        <v>250000</v>
      </c>
      <c r="I15" s="13">
        <f t="shared" si="0"/>
        <v>250000</v>
      </c>
      <c r="J15" s="13">
        <f t="shared" si="0"/>
        <v>250000</v>
      </c>
      <c r="K15" s="13">
        <f t="shared" si="0"/>
        <v>250000</v>
      </c>
      <c r="L15" s="13">
        <f t="shared" si="0"/>
        <v>250000</v>
      </c>
      <c r="M15" s="13">
        <f t="shared" si="0"/>
        <v>250000</v>
      </c>
      <c r="N15" s="20">
        <f t="shared" si="0"/>
        <v>250000</v>
      </c>
    </row>
    <row r="16" spans="3:14" x14ac:dyDescent="0.25">
      <c r="C16" s="19" t="s">
        <v>51</v>
      </c>
      <c r="D16" s="13"/>
      <c r="E16" s="13">
        <f>-$D$8*$D$7</f>
        <v>-125000</v>
      </c>
      <c r="F16" s="13">
        <f t="shared" ref="F16:N16" si="1">-$D$8*$D$7</f>
        <v>-125000</v>
      </c>
      <c r="G16" s="13">
        <f t="shared" si="1"/>
        <v>-125000</v>
      </c>
      <c r="H16" s="13">
        <f t="shared" si="1"/>
        <v>-125000</v>
      </c>
      <c r="I16" s="13">
        <f t="shared" si="1"/>
        <v>-125000</v>
      </c>
      <c r="J16" s="13">
        <f t="shared" si="1"/>
        <v>-125000</v>
      </c>
      <c r="K16" s="13">
        <f t="shared" si="1"/>
        <v>-125000</v>
      </c>
      <c r="L16" s="13">
        <f t="shared" si="1"/>
        <v>-125000</v>
      </c>
      <c r="M16" s="13">
        <f t="shared" si="1"/>
        <v>-125000</v>
      </c>
      <c r="N16" s="20">
        <f t="shared" si="1"/>
        <v>-125000</v>
      </c>
    </row>
    <row r="17" spans="2:14" x14ac:dyDescent="0.25">
      <c r="C17" s="19" t="s">
        <v>52</v>
      </c>
      <c r="D17" s="13"/>
      <c r="E17" s="13">
        <f>-$D$5*$D$9</f>
        <v>-25000</v>
      </c>
      <c r="F17" s="13">
        <f t="shared" ref="F17:N17" si="2">-$D$5*$D$9</f>
        <v>-25000</v>
      </c>
      <c r="G17" s="13">
        <f t="shared" si="2"/>
        <v>-25000</v>
      </c>
      <c r="H17" s="13">
        <f t="shared" si="2"/>
        <v>-25000</v>
      </c>
      <c r="I17" s="13">
        <f t="shared" si="2"/>
        <v>-25000</v>
      </c>
      <c r="J17" s="13">
        <f t="shared" si="2"/>
        <v>-25000</v>
      </c>
      <c r="K17" s="13">
        <f t="shared" si="2"/>
        <v>-25000</v>
      </c>
      <c r="L17" s="13">
        <f t="shared" si="2"/>
        <v>-25000</v>
      </c>
      <c r="M17" s="13">
        <f t="shared" si="2"/>
        <v>-25000</v>
      </c>
      <c r="N17" s="20">
        <f t="shared" si="2"/>
        <v>-25000</v>
      </c>
    </row>
    <row r="18" spans="2:14" x14ac:dyDescent="0.25">
      <c r="C18" s="19" t="s">
        <v>53</v>
      </c>
      <c r="D18" s="13"/>
      <c r="E18" s="13">
        <f>-SUM(E15:E17)*$D$10</f>
        <v>-40000</v>
      </c>
      <c r="F18" s="13">
        <f t="shared" ref="F18:N18" si="3">-SUM(F15:F17)*$D$10</f>
        <v>-40000</v>
      </c>
      <c r="G18" s="13">
        <f t="shared" si="3"/>
        <v>-40000</v>
      </c>
      <c r="H18" s="13">
        <f t="shared" si="3"/>
        <v>-40000</v>
      </c>
      <c r="I18" s="13">
        <f t="shared" si="3"/>
        <v>-40000</v>
      </c>
      <c r="J18" s="13">
        <f t="shared" si="3"/>
        <v>-40000</v>
      </c>
      <c r="K18" s="13">
        <f t="shared" si="3"/>
        <v>-40000</v>
      </c>
      <c r="L18" s="13">
        <f t="shared" si="3"/>
        <v>-40000</v>
      </c>
      <c r="M18" s="13">
        <f t="shared" si="3"/>
        <v>-40000</v>
      </c>
      <c r="N18" s="20">
        <f t="shared" si="3"/>
        <v>-40000</v>
      </c>
    </row>
    <row r="19" spans="2:14" x14ac:dyDescent="0.25">
      <c r="C19" s="31" t="s">
        <v>28</v>
      </c>
      <c r="D19" s="32"/>
      <c r="E19" s="32">
        <f>SUM(E15:E18)</f>
        <v>60000</v>
      </c>
      <c r="F19" s="32">
        <f t="shared" ref="F19:N19" si="4">SUM(F15:F18)</f>
        <v>60000</v>
      </c>
      <c r="G19" s="32">
        <f t="shared" si="4"/>
        <v>60000</v>
      </c>
      <c r="H19" s="32">
        <f t="shared" si="4"/>
        <v>60000</v>
      </c>
      <c r="I19" s="32">
        <f t="shared" si="4"/>
        <v>60000</v>
      </c>
      <c r="J19" s="32">
        <f t="shared" si="4"/>
        <v>60000</v>
      </c>
      <c r="K19" s="32">
        <f t="shared" si="4"/>
        <v>60000</v>
      </c>
      <c r="L19" s="32">
        <f t="shared" si="4"/>
        <v>60000</v>
      </c>
      <c r="M19" s="32">
        <f t="shared" si="4"/>
        <v>60000</v>
      </c>
      <c r="N19" s="33">
        <f t="shared" si="4"/>
        <v>60000</v>
      </c>
    </row>
    <row r="21" spans="2:14" x14ac:dyDescent="0.25">
      <c r="C21" s="27" t="s">
        <v>176</v>
      </c>
      <c r="D21" s="28" t="s">
        <v>34</v>
      </c>
      <c r="E21" s="28" t="s">
        <v>39</v>
      </c>
      <c r="F21" s="28" t="s">
        <v>40</v>
      </c>
      <c r="G21" s="28" t="s">
        <v>41</v>
      </c>
      <c r="H21" s="28" t="s">
        <v>42</v>
      </c>
      <c r="I21" s="28" t="s">
        <v>43</v>
      </c>
      <c r="J21" s="28" t="s">
        <v>44</v>
      </c>
      <c r="K21" s="28" t="s">
        <v>45</v>
      </c>
      <c r="L21" s="28" t="s">
        <v>46</v>
      </c>
      <c r="M21" s="28" t="s">
        <v>47</v>
      </c>
      <c r="N21" s="29" t="s">
        <v>48</v>
      </c>
    </row>
    <row r="22" spans="2:14" x14ac:dyDescent="0.25">
      <c r="C22" s="19" t="s">
        <v>54</v>
      </c>
      <c r="D22" s="13"/>
      <c r="E22" s="13">
        <f>+E19</f>
        <v>60000</v>
      </c>
      <c r="F22" s="13">
        <f t="shared" ref="F22:N22" si="5">+F19</f>
        <v>60000</v>
      </c>
      <c r="G22" s="13">
        <f t="shared" si="5"/>
        <v>60000</v>
      </c>
      <c r="H22" s="13">
        <f t="shared" si="5"/>
        <v>60000</v>
      </c>
      <c r="I22" s="13">
        <f t="shared" si="5"/>
        <v>60000</v>
      </c>
      <c r="J22" s="13">
        <f t="shared" si="5"/>
        <v>60000</v>
      </c>
      <c r="K22" s="13">
        <f t="shared" si="5"/>
        <v>60000</v>
      </c>
      <c r="L22" s="13">
        <f t="shared" si="5"/>
        <v>60000</v>
      </c>
      <c r="M22" s="13">
        <f t="shared" si="5"/>
        <v>60000</v>
      </c>
      <c r="N22" s="20">
        <f t="shared" si="5"/>
        <v>60000</v>
      </c>
    </row>
    <row r="23" spans="2:14" x14ac:dyDescent="0.25">
      <c r="C23" s="19" t="s">
        <v>55</v>
      </c>
      <c r="D23" s="13"/>
      <c r="E23" s="13">
        <f>-E17</f>
        <v>25000</v>
      </c>
      <c r="F23" s="13">
        <f t="shared" ref="F23:N23" si="6">-F17</f>
        <v>25000</v>
      </c>
      <c r="G23" s="13">
        <f t="shared" si="6"/>
        <v>25000</v>
      </c>
      <c r="H23" s="13">
        <f t="shared" si="6"/>
        <v>25000</v>
      </c>
      <c r="I23" s="13">
        <f t="shared" si="6"/>
        <v>25000</v>
      </c>
      <c r="J23" s="13">
        <f t="shared" si="6"/>
        <v>25000</v>
      </c>
      <c r="K23" s="13">
        <f t="shared" si="6"/>
        <v>25000</v>
      </c>
      <c r="L23" s="13">
        <f t="shared" si="6"/>
        <v>25000</v>
      </c>
      <c r="M23" s="13">
        <f t="shared" si="6"/>
        <v>25000</v>
      </c>
      <c r="N23" s="20">
        <f t="shared" si="6"/>
        <v>25000</v>
      </c>
    </row>
    <row r="24" spans="2:14" x14ac:dyDescent="0.25">
      <c r="C24" s="19" t="s">
        <v>19</v>
      </c>
      <c r="D24" s="13">
        <f>-D5</f>
        <v>-250000</v>
      </c>
      <c r="E24" s="13"/>
      <c r="F24" s="13"/>
      <c r="G24" s="13"/>
      <c r="H24" s="13"/>
      <c r="I24" s="13"/>
      <c r="J24" s="13"/>
      <c r="K24" s="13"/>
      <c r="L24" s="13"/>
      <c r="M24" s="13"/>
      <c r="N24" s="20"/>
    </row>
    <row r="25" spans="2:14" x14ac:dyDescent="0.25">
      <c r="C25" s="31" t="s">
        <v>21</v>
      </c>
      <c r="D25" s="32">
        <f>SUM(D22:D24)</f>
        <v>-250000</v>
      </c>
      <c r="E25" s="32">
        <f t="shared" ref="E25:N25" si="7">SUM(E22:E24)</f>
        <v>85000</v>
      </c>
      <c r="F25" s="32">
        <f t="shared" si="7"/>
        <v>85000</v>
      </c>
      <c r="G25" s="32">
        <f t="shared" si="7"/>
        <v>85000</v>
      </c>
      <c r="H25" s="32">
        <f t="shared" si="7"/>
        <v>85000</v>
      </c>
      <c r="I25" s="32">
        <f t="shared" si="7"/>
        <v>85000</v>
      </c>
      <c r="J25" s="32">
        <f t="shared" si="7"/>
        <v>85000</v>
      </c>
      <c r="K25" s="32">
        <f t="shared" si="7"/>
        <v>85000</v>
      </c>
      <c r="L25" s="32">
        <f t="shared" si="7"/>
        <v>85000</v>
      </c>
      <c r="M25" s="32">
        <f t="shared" si="7"/>
        <v>85000</v>
      </c>
      <c r="N25" s="33">
        <f t="shared" si="7"/>
        <v>85000</v>
      </c>
    </row>
    <row r="27" spans="2:14" x14ac:dyDescent="0.25">
      <c r="B27" s="11" t="s">
        <v>105</v>
      </c>
      <c r="C27" s="36" t="s">
        <v>27</v>
      </c>
      <c r="D27" s="30">
        <f>+D25+NPV(D11,E25:N25)</f>
        <v>230268.95741492329</v>
      </c>
    </row>
    <row r="29" spans="2:14" x14ac:dyDescent="0.25">
      <c r="B29" s="11" t="s">
        <v>106</v>
      </c>
      <c r="C29" s="36"/>
      <c r="D29" s="39" t="s">
        <v>257</v>
      </c>
      <c r="E29" s="40" t="s">
        <v>159</v>
      </c>
    </row>
    <row r="30" spans="2:14" x14ac:dyDescent="0.25">
      <c r="C30" s="19" t="s">
        <v>19</v>
      </c>
      <c r="D30" s="13">
        <v>547508.54202741198</v>
      </c>
      <c r="E30" s="41">
        <f>+(D30/D5)-1</f>
        <v>1.1900341681096478</v>
      </c>
    </row>
    <row r="31" spans="2:14" x14ac:dyDescent="0.25">
      <c r="C31" s="19" t="s">
        <v>87</v>
      </c>
      <c r="D31" s="14">
        <v>36.42</v>
      </c>
      <c r="E31" s="42">
        <f>+(D31/D6)-1</f>
        <v>-0.27159999999999995</v>
      </c>
    </row>
    <row r="32" spans="2:14" x14ac:dyDescent="0.25">
      <c r="C32" s="19" t="s">
        <v>161</v>
      </c>
      <c r="D32" s="16">
        <v>2283</v>
      </c>
      <c r="E32" s="41">
        <f>+(D32/D7)-1</f>
        <v>-0.54339999999999999</v>
      </c>
    </row>
    <row r="33" spans="3:5" x14ac:dyDescent="0.25">
      <c r="C33" s="23" t="s">
        <v>51</v>
      </c>
      <c r="D33" s="43">
        <v>38.58</v>
      </c>
      <c r="E33" s="44">
        <f>+(D33/D8)-1</f>
        <v>0.54319999999999991</v>
      </c>
    </row>
  </sheetData>
  <sheetProtection algorithmName="SHA-512" hashValue="vU5B6S2j5VMg+sJ9r7Mf6urh82pHPOwOKwxEVq+/yMGiuc7NYpkXw99RMd86Na37oetU9UByDgxcQ9cHaafL4A==" saltValue="wzRNKJ1zygJjI4sPCZuNZA==" spinCount="100000" sheet="1" objects="1" scenarios="1"/>
  <mergeCells count="2">
    <mergeCell ref="C1:N1"/>
    <mergeCell ref="C3:D4"/>
  </mergeCells>
  <hyperlinks>
    <hyperlink ref="C27" r:id="rId1" display="VPN@12%" xr:uid="{00000000-0004-0000-0100-000000000000}"/>
  </hyperlinks>
  <pageMargins left="0.7" right="0.7" top="0.75" bottom="0.75" header="0.3" footer="0.3"/>
  <pageSetup orientation="portrait" horizontalDpi="360" verticalDpi="36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C1:AO74"/>
  <sheetViews>
    <sheetView topLeftCell="L46" zoomScaleNormal="100" workbookViewId="0">
      <selection activeCell="V59" sqref="V59"/>
    </sheetView>
  </sheetViews>
  <sheetFormatPr baseColWidth="10" defaultRowHeight="13.8" x14ac:dyDescent="0.25"/>
  <cols>
    <col min="1" max="1" width="23" style="48" customWidth="1"/>
    <col min="2" max="2" width="6.5546875" style="48" customWidth="1"/>
    <col min="3" max="3" width="9" style="48" customWidth="1"/>
    <col min="4" max="4" width="2.88671875" style="48" customWidth="1"/>
    <col min="5" max="5" width="12.44140625" style="48" customWidth="1"/>
    <col min="6" max="6" width="10.33203125" style="48" bestFit="1" customWidth="1"/>
    <col min="7" max="7" width="6" style="48" bestFit="1" customWidth="1"/>
    <col min="8" max="9" width="7.6640625" style="48" bestFit="1" customWidth="1"/>
    <col min="10" max="10" width="8.88671875" style="48" customWidth="1"/>
    <col min="11" max="11" width="1.6640625" style="48" customWidth="1"/>
    <col min="12" max="12" width="7.33203125" style="48" customWidth="1"/>
    <col min="13" max="13" width="9.6640625" style="48" bestFit="1" customWidth="1"/>
    <col min="14" max="14" width="6.109375" style="48" customWidth="1"/>
    <col min="15" max="15" width="4.6640625" style="48" customWidth="1"/>
    <col min="16" max="16" width="8.6640625" style="48" bestFit="1" customWidth="1"/>
    <col min="17" max="17" width="6" style="48" bestFit="1" customWidth="1"/>
    <col min="18" max="18" width="11.6640625" style="48" bestFit="1" customWidth="1"/>
    <col min="19" max="19" width="11.44140625" style="48"/>
    <col min="20" max="20" width="13.6640625" style="48" customWidth="1"/>
    <col min="21" max="21" width="15.44140625" style="48" customWidth="1"/>
    <col min="22" max="22" width="8.6640625" style="48" customWidth="1"/>
    <col min="23" max="23" width="8.44140625" style="48" customWidth="1"/>
    <col min="24" max="24" width="7.88671875" style="48" customWidth="1"/>
    <col min="25" max="26" width="8.109375" style="48" customWidth="1"/>
    <col min="27" max="27" width="7.88671875" style="48" customWidth="1"/>
    <col min="28" max="28" width="7" style="48" customWidth="1"/>
    <col min="29" max="29" width="6.6640625" style="48" customWidth="1"/>
    <col min="30" max="30" width="8.109375" style="48" customWidth="1"/>
    <col min="31" max="31" width="5.5546875" style="48" bestFit="1" customWidth="1"/>
    <col min="32" max="32" width="2.109375" style="48" bestFit="1" customWidth="1"/>
    <col min="33" max="33" width="7.109375" style="48" bestFit="1" customWidth="1"/>
    <col min="34" max="34" width="5.5546875" style="48" bestFit="1" customWidth="1"/>
    <col min="35" max="36" width="11.44140625" style="48"/>
    <col min="37" max="37" width="5.33203125" style="48" customWidth="1"/>
    <col min="38" max="39" width="11.44140625" style="48"/>
    <col min="40" max="40" width="3.6640625" style="48" customWidth="1"/>
    <col min="41" max="41" width="8.44140625" style="48" customWidth="1"/>
    <col min="42" max="258" width="11.44140625" style="48"/>
    <col min="259" max="259" width="1" style="48" customWidth="1"/>
    <col min="260" max="260" width="12.44140625" style="48" customWidth="1"/>
    <col min="261" max="262" width="11.44140625" style="48"/>
    <col min="263" max="263" width="7.88671875" style="48" customWidth="1"/>
    <col min="264" max="264" width="5.44140625" style="48" customWidth="1"/>
    <col min="265" max="265" width="11.44140625" style="48"/>
    <col min="266" max="266" width="1.6640625" style="48" customWidth="1"/>
    <col min="267" max="267" width="11.44140625" style="48"/>
    <col min="268" max="268" width="9.88671875" style="48" customWidth="1"/>
    <col min="269" max="269" width="1.6640625" style="48" customWidth="1"/>
    <col min="270" max="271" width="11.44140625" style="48"/>
    <col min="272" max="272" width="7.33203125" style="48" customWidth="1"/>
    <col min="273" max="276" width="11.44140625" style="48"/>
    <col min="277" max="277" width="3" style="48" customWidth="1"/>
    <col min="278" max="514" width="11.44140625" style="48"/>
    <col min="515" max="515" width="1" style="48" customWidth="1"/>
    <col min="516" max="516" width="12.44140625" style="48" customWidth="1"/>
    <col min="517" max="518" width="11.44140625" style="48"/>
    <col min="519" max="519" width="7.88671875" style="48" customWidth="1"/>
    <col min="520" max="520" width="5.44140625" style="48" customWidth="1"/>
    <col min="521" max="521" width="11.44140625" style="48"/>
    <col min="522" max="522" width="1.6640625" style="48" customWidth="1"/>
    <col min="523" max="523" width="11.44140625" style="48"/>
    <col min="524" max="524" width="9.88671875" style="48" customWidth="1"/>
    <col min="525" max="525" width="1.6640625" style="48" customWidth="1"/>
    <col min="526" max="527" width="11.44140625" style="48"/>
    <col min="528" max="528" width="7.33203125" style="48" customWidth="1"/>
    <col min="529" max="532" width="11.44140625" style="48"/>
    <col min="533" max="533" width="3" style="48" customWidth="1"/>
    <col min="534" max="770" width="11.44140625" style="48"/>
    <col min="771" max="771" width="1" style="48" customWidth="1"/>
    <col min="772" max="772" width="12.44140625" style="48" customWidth="1"/>
    <col min="773" max="774" width="11.44140625" style="48"/>
    <col min="775" max="775" width="7.88671875" style="48" customWidth="1"/>
    <col min="776" max="776" width="5.44140625" style="48" customWidth="1"/>
    <col min="777" max="777" width="11.44140625" style="48"/>
    <col min="778" max="778" width="1.6640625" style="48" customWidth="1"/>
    <col min="779" max="779" width="11.44140625" style="48"/>
    <col min="780" max="780" width="9.88671875" style="48" customWidth="1"/>
    <col min="781" max="781" width="1.6640625" style="48" customWidth="1"/>
    <col min="782" max="783" width="11.44140625" style="48"/>
    <col min="784" max="784" width="7.33203125" style="48" customWidth="1"/>
    <col min="785" max="788" width="11.44140625" style="48"/>
    <col min="789" max="789" width="3" style="48" customWidth="1"/>
    <col min="790" max="1026" width="11.44140625" style="48"/>
    <col min="1027" max="1027" width="1" style="48" customWidth="1"/>
    <col min="1028" max="1028" width="12.44140625" style="48" customWidth="1"/>
    <col min="1029" max="1030" width="11.44140625" style="48"/>
    <col min="1031" max="1031" width="7.88671875" style="48" customWidth="1"/>
    <col min="1032" max="1032" width="5.44140625" style="48" customWidth="1"/>
    <col min="1033" max="1033" width="11.44140625" style="48"/>
    <col min="1034" max="1034" width="1.6640625" style="48" customWidth="1"/>
    <col min="1035" max="1035" width="11.44140625" style="48"/>
    <col min="1036" max="1036" width="9.88671875" style="48" customWidth="1"/>
    <col min="1037" max="1037" width="1.6640625" style="48" customWidth="1"/>
    <col min="1038" max="1039" width="11.44140625" style="48"/>
    <col min="1040" max="1040" width="7.33203125" style="48" customWidth="1"/>
    <col min="1041" max="1044" width="11.44140625" style="48"/>
    <col min="1045" max="1045" width="3" style="48" customWidth="1"/>
    <col min="1046" max="1282" width="11.44140625" style="48"/>
    <col min="1283" max="1283" width="1" style="48" customWidth="1"/>
    <col min="1284" max="1284" width="12.44140625" style="48" customWidth="1"/>
    <col min="1285" max="1286" width="11.44140625" style="48"/>
    <col min="1287" max="1287" width="7.88671875" style="48" customWidth="1"/>
    <col min="1288" max="1288" width="5.44140625" style="48" customWidth="1"/>
    <col min="1289" max="1289" width="11.44140625" style="48"/>
    <col min="1290" max="1290" width="1.6640625" style="48" customWidth="1"/>
    <col min="1291" max="1291" width="11.44140625" style="48"/>
    <col min="1292" max="1292" width="9.88671875" style="48" customWidth="1"/>
    <col min="1293" max="1293" width="1.6640625" style="48" customWidth="1"/>
    <col min="1294" max="1295" width="11.44140625" style="48"/>
    <col min="1296" max="1296" width="7.33203125" style="48" customWidth="1"/>
    <col min="1297" max="1300" width="11.44140625" style="48"/>
    <col min="1301" max="1301" width="3" style="48" customWidth="1"/>
    <col min="1302" max="1538" width="11.44140625" style="48"/>
    <col min="1539" max="1539" width="1" style="48" customWidth="1"/>
    <col min="1540" max="1540" width="12.44140625" style="48" customWidth="1"/>
    <col min="1541" max="1542" width="11.44140625" style="48"/>
    <col min="1543" max="1543" width="7.88671875" style="48" customWidth="1"/>
    <col min="1544" max="1544" width="5.44140625" style="48" customWidth="1"/>
    <col min="1545" max="1545" width="11.44140625" style="48"/>
    <col min="1546" max="1546" width="1.6640625" style="48" customWidth="1"/>
    <col min="1547" max="1547" width="11.44140625" style="48"/>
    <col min="1548" max="1548" width="9.88671875" style="48" customWidth="1"/>
    <col min="1549" max="1549" width="1.6640625" style="48" customWidth="1"/>
    <col min="1550" max="1551" width="11.44140625" style="48"/>
    <col min="1552" max="1552" width="7.33203125" style="48" customWidth="1"/>
    <col min="1553" max="1556" width="11.44140625" style="48"/>
    <col min="1557" max="1557" width="3" style="48" customWidth="1"/>
    <col min="1558" max="1794" width="11.44140625" style="48"/>
    <col min="1795" max="1795" width="1" style="48" customWidth="1"/>
    <col min="1796" max="1796" width="12.44140625" style="48" customWidth="1"/>
    <col min="1797" max="1798" width="11.44140625" style="48"/>
    <col min="1799" max="1799" width="7.88671875" style="48" customWidth="1"/>
    <col min="1800" max="1800" width="5.44140625" style="48" customWidth="1"/>
    <col min="1801" max="1801" width="11.44140625" style="48"/>
    <col min="1802" max="1802" width="1.6640625" style="48" customWidth="1"/>
    <col min="1803" max="1803" width="11.44140625" style="48"/>
    <col min="1804" max="1804" width="9.88671875" style="48" customWidth="1"/>
    <col min="1805" max="1805" width="1.6640625" style="48" customWidth="1"/>
    <col min="1806" max="1807" width="11.44140625" style="48"/>
    <col min="1808" max="1808" width="7.33203125" style="48" customWidth="1"/>
    <col min="1809" max="1812" width="11.44140625" style="48"/>
    <col min="1813" max="1813" width="3" style="48" customWidth="1"/>
    <col min="1814" max="2050" width="11.44140625" style="48"/>
    <col min="2051" max="2051" width="1" style="48" customWidth="1"/>
    <col min="2052" max="2052" width="12.44140625" style="48" customWidth="1"/>
    <col min="2053" max="2054" width="11.44140625" style="48"/>
    <col min="2055" max="2055" width="7.88671875" style="48" customWidth="1"/>
    <col min="2056" max="2056" width="5.44140625" style="48" customWidth="1"/>
    <col min="2057" max="2057" width="11.44140625" style="48"/>
    <col min="2058" max="2058" width="1.6640625" style="48" customWidth="1"/>
    <col min="2059" max="2059" width="11.44140625" style="48"/>
    <col min="2060" max="2060" width="9.88671875" style="48" customWidth="1"/>
    <col min="2061" max="2061" width="1.6640625" style="48" customWidth="1"/>
    <col min="2062" max="2063" width="11.44140625" style="48"/>
    <col min="2064" max="2064" width="7.33203125" style="48" customWidth="1"/>
    <col min="2065" max="2068" width="11.44140625" style="48"/>
    <col min="2069" max="2069" width="3" style="48" customWidth="1"/>
    <col min="2070" max="2306" width="11.44140625" style="48"/>
    <col min="2307" max="2307" width="1" style="48" customWidth="1"/>
    <col min="2308" max="2308" width="12.44140625" style="48" customWidth="1"/>
    <col min="2309" max="2310" width="11.44140625" style="48"/>
    <col min="2311" max="2311" width="7.88671875" style="48" customWidth="1"/>
    <col min="2312" max="2312" width="5.44140625" style="48" customWidth="1"/>
    <col min="2313" max="2313" width="11.44140625" style="48"/>
    <col min="2314" max="2314" width="1.6640625" style="48" customWidth="1"/>
    <col min="2315" max="2315" width="11.44140625" style="48"/>
    <col min="2316" max="2316" width="9.88671875" style="48" customWidth="1"/>
    <col min="2317" max="2317" width="1.6640625" style="48" customWidth="1"/>
    <col min="2318" max="2319" width="11.44140625" style="48"/>
    <col min="2320" max="2320" width="7.33203125" style="48" customWidth="1"/>
    <col min="2321" max="2324" width="11.44140625" style="48"/>
    <col min="2325" max="2325" width="3" style="48" customWidth="1"/>
    <col min="2326" max="2562" width="11.44140625" style="48"/>
    <col min="2563" max="2563" width="1" style="48" customWidth="1"/>
    <col min="2564" max="2564" width="12.44140625" style="48" customWidth="1"/>
    <col min="2565" max="2566" width="11.44140625" style="48"/>
    <col min="2567" max="2567" width="7.88671875" style="48" customWidth="1"/>
    <col min="2568" max="2568" width="5.44140625" style="48" customWidth="1"/>
    <col min="2569" max="2569" width="11.44140625" style="48"/>
    <col min="2570" max="2570" width="1.6640625" style="48" customWidth="1"/>
    <col min="2571" max="2571" width="11.44140625" style="48"/>
    <col min="2572" max="2572" width="9.88671875" style="48" customWidth="1"/>
    <col min="2573" max="2573" width="1.6640625" style="48" customWidth="1"/>
    <col min="2574" max="2575" width="11.44140625" style="48"/>
    <col min="2576" max="2576" width="7.33203125" style="48" customWidth="1"/>
    <col min="2577" max="2580" width="11.44140625" style="48"/>
    <col min="2581" max="2581" width="3" style="48" customWidth="1"/>
    <col min="2582" max="2818" width="11.44140625" style="48"/>
    <col min="2819" max="2819" width="1" style="48" customWidth="1"/>
    <col min="2820" max="2820" width="12.44140625" style="48" customWidth="1"/>
    <col min="2821" max="2822" width="11.44140625" style="48"/>
    <col min="2823" max="2823" width="7.88671875" style="48" customWidth="1"/>
    <col min="2824" max="2824" width="5.44140625" style="48" customWidth="1"/>
    <col min="2825" max="2825" width="11.44140625" style="48"/>
    <col min="2826" max="2826" width="1.6640625" style="48" customWidth="1"/>
    <col min="2827" max="2827" width="11.44140625" style="48"/>
    <col min="2828" max="2828" width="9.88671875" style="48" customWidth="1"/>
    <col min="2829" max="2829" width="1.6640625" style="48" customWidth="1"/>
    <col min="2830" max="2831" width="11.44140625" style="48"/>
    <col min="2832" max="2832" width="7.33203125" style="48" customWidth="1"/>
    <col min="2833" max="2836" width="11.44140625" style="48"/>
    <col min="2837" max="2837" width="3" style="48" customWidth="1"/>
    <col min="2838" max="3074" width="11.44140625" style="48"/>
    <col min="3075" max="3075" width="1" style="48" customWidth="1"/>
    <col min="3076" max="3076" width="12.44140625" style="48" customWidth="1"/>
    <col min="3077" max="3078" width="11.44140625" style="48"/>
    <col min="3079" max="3079" width="7.88671875" style="48" customWidth="1"/>
    <col min="3080" max="3080" width="5.44140625" style="48" customWidth="1"/>
    <col min="3081" max="3081" width="11.44140625" style="48"/>
    <col min="3082" max="3082" width="1.6640625" style="48" customWidth="1"/>
    <col min="3083" max="3083" width="11.44140625" style="48"/>
    <col min="3084" max="3084" width="9.88671875" style="48" customWidth="1"/>
    <col min="3085" max="3085" width="1.6640625" style="48" customWidth="1"/>
    <col min="3086" max="3087" width="11.44140625" style="48"/>
    <col min="3088" max="3088" width="7.33203125" style="48" customWidth="1"/>
    <col min="3089" max="3092" width="11.44140625" style="48"/>
    <col min="3093" max="3093" width="3" style="48" customWidth="1"/>
    <col min="3094" max="3330" width="11.44140625" style="48"/>
    <col min="3331" max="3331" width="1" style="48" customWidth="1"/>
    <col min="3332" max="3332" width="12.44140625" style="48" customWidth="1"/>
    <col min="3333" max="3334" width="11.44140625" style="48"/>
    <col min="3335" max="3335" width="7.88671875" style="48" customWidth="1"/>
    <col min="3336" max="3336" width="5.44140625" style="48" customWidth="1"/>
    <col min="3337" max="3337" width="11.44140625" style="48"/>
    <col min="3338" max="3338" width="1.6640625" style="48" customWidth="1"/>
    <col min="3339" max="3339" width="11.44140625" style="48"/>
    <col min="3340" max="3340" width="9.88671875" style="48" customWidth="1"/>
    <col min="3341" max="3341" width="1.6640625" style="48" customWidth="1"/>
    <col min="3342" max="3343" width="11.44140625" style="48"/>
    <col min="3344" max="3344" width="7.33203125" style="48" customWidth="1"/>
    <col min="3345" max="3348" width="11.44140625" style="48"/>
    <col min="3349" max="3349" width="3" style="48" customWidth="1"/>
    <col min="3350" max="3586" width="11.44140625" style="48"/>
    <col min="3587" max="3587" width="1" style="48" customWidth="1"/>
    <col min="3588" max="3588" width="12.44140625" style="48" customWidth="1"/>
    <col min="3589" max="3590" width="11.44140625" style="48"/>
    <col min="3591" max="3591" width="7.88671875" style="48" customWidth="1"/>
    <col min="3592" max="3592" width="5.44140625" style="48" customWidth="1"/>
    <col min="3593" max="3593" width="11.44140625" style="48"/>
    <col min="3594" max="3594" width="1.6640625" style="48" customWidth="1"/>
    <col min="3595" max="3595" width="11.44140625" style="48"/>
    <col min="3596" max="3596" width="9.88671875" style="48" customWidth="1"/>
    <col min="3597" max="3597" width="1.6640625" style="48" customWidth="1"/>
    <col min="3598" max="3599" width="11.44140625" style="48"/>
    <col min="3600" max="3600" width="7.33203125" style="48" customWidth="1"/>
    <col min="3601" max="3604" width="11.44140625" style="48"/>
    <col min="3605" max="3605" width="3" style="48" customWidth="1"/>
    <col min="3606" max="3842" width="11.44140625" style="48"/>
    <col min="3843" max="3843" width="1" style="48" customWidth="1"/>
    <col min="3844" max="3844" width="12.44140625" style="48" customWidth="1"/>
    <col min="3845" max="3846" width="11.44140625" style="48"/>
    <col min="3847" max="3847" width="7.88671875" style="48" customWidth="1"/>
    <col min="3848" max="3848" width="5.44140625" style="48" customWidth="1"/>
    <col min="3849" max="3849" width="11.44140625" style="48"/>
    <col min="3850" max="3850" width="1.6640625" style="48" customWidth="1"/>
    <col min="3851" max="3851" width="11.44140625" style="48"/>
    <col min="3852" max="3852" width="9.88671875" style="48" customWidth="1"/>
    <col min="3853" max="3853" width="1.6640625" style="48" customWidth="1"/>
    <col min="3854" max="3855" width="11.44140625" style="48"/>
    <col min="3856" max="3856" width="7.33203125" style="48" customWidth="1"/>
    <col min="3857" max="3860" width="11.44140625" style="48"/>
    <col min="3861" max="3861" width="3" style="48" customWidth="1"/>
    <col min="3862" max="4098" width="11.44140625" style="48"/>
    <col min="4099" max="4099" width="1" style="48" customWidth="1"/>
    <col min="4100" max="4100" width="12.44140625" style="48" customWidth="1"/>
    <col min="4101" max="4102" width="11.44140625" style="48"/>
    <col min="4103" max="4103" width="7.88671875" style="48" customWidth="1"/>
    <col min="4104" max="4104" width="5.44140625" style="48" customWidth="1"/>
    <col min="4105" max="4105" width="11.44140625" style="48"/>
    <col min="4106" max="4106" width="1.6640625" style="48" customWidth="1"/>
    <col min="4107" max="4107" width="11.44140625" style="48"/>
    <col min="4108" max="4108" width="9.88671875" style="48" customWidth="1"/>
    <col min="4109" max="4109" width="1.6640625" style="48" customWidth="1"/>
    <col min="4110" max="4111" width="11.44140625" style="48"/>
    <col min="4112" max="4112" width="7.33203125" style="48" customWidth="1"/>
    <col min="4113" max="4116" width="11.44140625" style="48"/>
    <col min="4117" max="4117" width="3" style="48" customWidth="1"/>
    <col min="4118" max="4354" width="11.44140625" style="48"/>
    <col min="4355" max="4355" width="1" style="48" customWidth="1"/>
    <col min="4356" max="4356" width="12.44140625" style="48" customWidth="1"/>
    <col min="4357" max="4358" width="11.44140625" style="48"/>
    <col min="4359" max="4359" width="7.88671875" style="48" customWidth="1"/>
    <col min="4360" max="4360" width="5.44140625" style="48" customWidth="1"/>
    <col min="4361" max="4361" width="11.44140625" style="48"/>
    <col min="4362" max="4362" width="1.6640625" style="48" customWidth="1"/>
    <col min="4363" max="4363" width="11.44140625" style="48"/>
    <col min="4364" max="4364" width="9.88671875" style="48" customWidth="1"/>
    <col min="4365" max="4365" width="1.6640625" style="48" customWidth="1"/>
    <col min="4366" max="4367" width="11.44140625" style="48"/>
    <col min="4368" max="4368" width="7.33203125" style="48" customWidth="1"/>
    <col min="4369" max="4372" width="11.44140625" style="48"/>
    <col min="4373" max="4373" width="3" style="48" customWidth="1"/>
    <col min="4374" max="4610" width="11.44140625" style="48"/>
    <col min="4611" max="4611" width="1" style="48" customWidth="1"/>
    <col min="4612" max="4612" width="12.44140625" style="48" customWidth="1"/>
    <col min="4613" max="4614" width="11.44140625" style="48"/>
    <col min="4615" max="4615" width="7.88671875" style="48" customWidth="1"/>
    <col min="4616" max="4616" width="5.44140625" style="48" customWidth="1"/>
    <col min="4617" max="4617" width="11.44140625" style="48"/>
    <col min="4618" max="4618" width="1.6640625" style="48" customWidth="1"/>
    <col min="4619" max="4619" width="11.44140625" style="48"/>
    <col min="4620" max="4620" width="9.88671875" style="48" customWidth="1"/>
    <col min="4621" max="4621" width="1.6640625" style="48" customWidth="1"/>
    <col min="4622" max="4623" width="11.44140625" style="48"/>
    <col min="4624" max="4624" width="7.33203125" style="48" customWidth="1"/>
    <col min="4625" max="4628" width="11.44140625" style="48"/>
    <col min="4629" max="4629" width="3" style="48" customWidth="1"/>
    <col min="4630" max="4866" width="11.44140625" style="48"/>
    <col min="4867" max="4867" width="1" style="48" customWidth="1"/>
    <col min="4868" max="4868" width="12.44140625" style="48" customWidth="1"/>
    <col min="4869" max="4870" width="11.44140625" style="48"/>
    <col min="4871" max="4871" width="7.88671875" style="48" customWidth="1"/>
    <col min="4872" max="4872" width="5.44140625" style="48" customWidth="1"/>
    <col min="4873" max="4873" width="11.44140625" style="48"/>
    <col min="4874" max="4874" width="1.6640625" style="48" customWidth="1"/>
    <col min="4875" max="4875" width="11.44140625" style="48"/>
    <col min="4876" max="4876" width="9.88671875" style="48" customWidth="1"/>
    <col min="4877" max="4877" width="1.6640625" style="48" customWidth="1"/>
    <col min="4878" max="4879" width="11.44140625" style="48"/>
    <col min="4880" max="4880" width="7.33203125" style="48" customWidth="1"/>
    <col min="4881" max="4884" width="11.44140625" style="48"/>
    <col min="4885" max="4885" width="3" style="48" customWidth="1"/>
    <col min="4886" max="5122" width="11.44140625" style="48"/>
    <col min="5123" max="5123" width="1" style="48" customWidth="1"/>
    <col min="5124" max="5124" width="12.44140625" style="48" customWidth="1"/>
    <col min="5125" max="5126" width="11.44140625" style="48"/>
    <col min="5127" max="5127" width="7.88671875" style="48" customWidth="1"/>
    <col min="5128" max="5128" width="5.44140625" style="48" customWidth="1"/>
    <col min="5129" max="5129" width="11.44140625" style="48"/>
    <col min="5130" max="5130" width="1.6640625" style="48" customWidth="1"/>
    <col min="5131" max="5131" width="11.44140625" style="48"/>
    <col min="5132" max="5132" width="9.88671875" style="48" customWidth="1"/>
    <col min="5133" max="5133" width="1.6640625" style="48" customWidth="1"/>
    <col min="5134" max="5135" width="11.44140625" style="48"/>
    <col min="5136" max="5136" width="7.33203125" style="48" customWidth="1"/>
    <col min="5137" max="5140" width="11.44140625" style="48"/>
    <col min="5141" max="5141" width="3" style="48" customWidth="1"/>
    <col min="5142" max="5378" width="11.44140625" style="48"/>
    <col min="5379" max="5379" width="1" style="48" customWidth="1"/>
    <col min="5380" max="5380" width="12.44140625" style="48" customWidth="1"/>
    <col min="5381" max="5382" width="11.44140625" style="48"/>
    <col min="5383" max="5383" width="7.88671875" style="48" customWidth="1"/>
    <col min="5384" max="5384" width="5.44140625" style="48" customWidth="1"/>
    <col min="5385" max="5385" width="11.44140625" style="48"/>
    <col min="5386" max="5386" width="1.6640625" style="48" customWidth="1"/>
    <col min="5387" max="5387" width="11.44140625" style="48"/>
    <col min="5388" max="5388" width="9.88671875" style="48" customWidth="1"/>
    <col min="5389" max="5389" width="1.6640625" style="48" customWidth="1"/>
    <col min="5390" max="5391" width="11.44140625" style="48"/>
    <col min="5392" max="5392" width="7.33203125" style="48" customWidth="1"/>
    <col min="5393" max="5396" width="11.44140625" style="48"/>
    <col min="5397" max="5397" width="3" style="48" customWidth="1"/>
    <col min="5398" max="5634" width="11.44140625" style="48"/>
    <col min="5635" max="5635" width="1" style="48" customWidth="1"/>
    <col min="5636" max="5636" width="12.44140625" style="48" customWidth="1"/>
    <col min="5637" max="5638" width="11.44140625" style="48"/>
    <col min="5639" max="5639" width="7.88671875" style="48" customWidth="1"/>
    <col min="5640" max="5640" width="5.44140625" style="48" customWidth="1"/>
    <col min="5641" max="5641" width="11.44140625" style="48"/>
    <col min="5642" max="5642" width="1.6640625" style="48" customWidth="1"/>
    <col min="5643" max="5643" width="11.44140625" style="48"/>
    <col min="5644" max="5644" width="9.88671875" style="48" customWidth="1"/>
    <col min="5645" max="5645" width="1.6640625" style="48" customWidth="1"/>
    <col min="5646" max="5647" width="11.44140625" style="48"/>
    <col min="5648" max="5648" width="7.33203125" style="48" customWidth="1"/>
    <col min="5649" max="5652" width="11.44140625" style="48"/>
    <col min="5653" max="5653" width="3" style="48" customWidth="1"/>
    <col min="5654" max="5890" width="11.44140625" style="48"/>
    <col min="5891" max="5891" width="1" style="48" customWidth="1"/>
    <col min="5892" max="5892" width="12.44140625" style="48" customWidth="1"/>
    <col min="5893" max="5894" width="11.44140625" style="48"/>
    <col min="5895" max="5895" width="7.88671875" style="48" customWidth="1"/>
    <col min="5896" max="5896" width="5.44140625" style="48" customWidth="1"/>
    <col min="5897" max="5897" width="11.44140625" style="48"/>
    <col min="5898" max="5898" width="1.6640625" style="48" customWidth="1"/>
    <col min="5899" max="5899" width="11.44140625" style="48"/>
    <col min="5900" max="5900" width="9.88671875" style="48" customWidth="1"/>
    <col min="5901" max="5901" width="1.6640625" style="48" customWidth="1"/>
    <col min="5902" max="5903" width="11.44140625" style="48"/>
    <col min="5904" max="5904" width="7.33203125" style="48" customWidth="1"/>
    <col min="5905" max="5908" width="11.44140625" style="48"/>
    <col min="5909" max="5909" width="3" style="48" customWidth="1"/>
    <col min="5910" max="6146" width="11.44140625" style="48"/>
    <col min="6147" max="6147" width="1" style="48" customWidth="1"/>
    <col min="6148" max="6148" width="12.44140625" style="48" customWidth="1"/>
    <col min="6149" max="6150" width="11.44140625" style="48"/>
    <col min="6151" max="6151" width="7.88671875" style="48" customWidth="1"/>
    <col min="6152" max="6152" width="5.44140625" style="48" customWidth="1"/>
    <col min="6153" max="6153" width="11.44140625" style="48"/>
    <col min="6154" max="6154" width="1.6640625" style="48" customWidth="1"/>
    <col min="6155" max="6155" width="11.44140625" style="48"/>
    <col min="6156" max="6156" width="9.88671875" style="48" customWidth="1"/>
    <col min="6157" max="6157" width="1.6640625" style="48" customWidth="1"/>
    <col min="6158" max="6159" width="11.44140625" style="48"/>
    <col min="6160" max="6160" width="7.33203125" style="48" customWidth="1"/>
    <col min="6161" max="6164" width="11.44140625" style="48"/>
    <col min="6165" max="6165" width="3" style="48" customWidth="1"/>
    <col min="6166" max="6402" width="11.44140625" style="48"/>
    <col min="6403" max="6403" width="1" style="48" customWidth="1"/>
    <col min="6404" max="6404" width="12.44140625" style="48" customWidth="1"/>
    <col min="6405" max="6406" width="11.44140625" style="48"/>
    <col min="6407" max="6407" width="7.88671875" style="48" customWidth="1"/>
    <col min="6408" max="6408" width="5.44140625" style="48" customWidth="1"/>
    <col min="6409" max="6409" width="11.44140625" style="48"/>
    <col min="6410" max="6410" width="1.6640625" style="48" customWidth="1"/>
    <col min="6411" max="6411" width="11.44140625" style="48"/>
    <col min="6412" max="6412" width="9.88671875" style="48" customWidth="1"/>
    <col min="6413" max="6413" width="1.6640625" style="48" customWidth="1"/>
    <col min="6414" max="6415" width="11.44140625" style="48"/>
    <col min="6416" max="6416" width="7.33203125" style="48" customWidth="1"/>
    <col min="6417" max="6420" width="11.44140625" style="48"/>
    <col min="6421" max="6421" width="3" style="48" customWidth="1"/>
    <col min="6422" max="6658" width="11.44140625" style="48"/>
    <col min="6659" max="6659" width="1" style="48" customWidth="1"/>
    <col min="6660" max="6660" width="12.44140625" style="48" customWidth="1"/>
    <col min="6661" max="6662" width="11.44140625" style="48"/>
    <col min="6663" max="6663" width="7.88671875" style="48" customWidth="1"/>
    <col min="6664" max="6664" width="5.44140625" style="48" customWidth="1"/>
    <col min="6665" max="6665" width="11.44140625" style="48"/>
    <col min="6666" max="6666" width="1.6640625" style="48" customWidth="1"/>
    <col min="6667" max="6667" width="11.44140625" style="48"/>
    <col min="6668" max="6668" width="9.88671875" style="48" customWidth="1"/>
    <col min="6669" max="6669" width="1.6640625" style="48" customWidth="1"/>
    <col min="6670" max="6671" width="11.44140625" style="48"/>
    <col min="6672" max="6672" width="7.33203125" style="48" customWidth="1"/>
    <col min="6673" max="6676" width="11.44140625" style="48"/>
    <col min="6677" max="6677" width="3" style="48" customWidth="1"/>
    <col min="6678" max="6914" width="11.44140625" style="48"/>
    <col min="6915" max="6915" width="1" style="48" customWidth="1"/>
    <col min="6916" max="6916" width="12.44140625" style="48" customWidth="1"/>
    <col min="6917" max="6918" width="11.44140625" style="48"/>
    <col min="6919" max="6919" width="7.88671875" style="48" customWidth="1"/>
    <col min="6920" max="6920" width="5.44140625" style="48" customWidth="1"/>
    <col min="6921" max="6921" width="11.44140625" style="48"/>
    <col min="6922" max="6922" width="1.6640625" style="48" customWidth="1"/>
    <col min="6923" max="6923" width="11.44140625" style="48"/>
    <col min="6924" max="6924" width="9.88671875" style="48" customWidth="1"/>
    <col min="6925" max="6925" width="1.6640625" style="48" customWidth="1"/>
    <col min="6926" max="6927" width="11.44140625" style="48"/>
    <col min="6928" max="6928" width="7.33203125" style="48" customWidth="1"/>
    <col min="6929" max="6932" width="11.44140625" style="48"/>
    <col min="6933" max="6933" width="3" style="48" customWidth="1"/>
    <col min="6934" max="7170" width="11.44140625" style="48"/>
    <col min="7171" max="7171" width="1" style="48" customWidth="1"/>
    <col min="7172" max="7172" width="12.44140625" style="48" customWidth="1"/>
    <col min="7173" max="7174" width="11.44140625" style="48"/>
    <col min="7175" max="7175" width="7.88671875" style="48" customWidth="1"/>
    <col min="7176" max="7176" width="5.44140625" style="48" customWidth="1"/>
    <col min="7177" max="7177" width="11.44140625" style="48"/>
    <col min="7178" max="7178" width="1.6640625" style="48" customWidth="1"/>
    <col min="7179" max="7179" width="11.44140625" style="48"/>
    <col min="7180" max="7180" width="9.88671875" style="48" customWidth="1"/>
    <col min="7181" max="7181" width="1.6640625" style="48" customWidth="1"/>
    <col min="7182" max="7183" width="11.44140625" style="48"/>
    <col min="7184" max="7184" width="7.33203125" style="48" customWidth="1"/>
    <col min="7185" max="7188" width="11.44140625" style="48"/>
    <col min="7189" max="7189" width="3" style="48" customWidth="1"/>
    <col min="7190" max="7426" width="11.44140625" style="48"/>
    <col min="7427" max="7427" width="1" style="48" customWidth="1"/>
    <col min="7428" max="7428" width="12.44140625" style="48" customWidth="1"/>
    <col min="7429" max="7430" width="11.44140625" style="48"/>
    <col min="7431" max="7431" width="7.88671875" style="48" customWidth="1"/>
    <col min="7432" max="7432" width="5.44140625" style="48" customWidth="1"/>
    <col min="7433" max="7433" width="11.44140625" style="48"/>
    <col min="7434" max="7434" width="1.6640625" style="48" customWidth="1"/>
    <col min="7435" max="7435" width="11.44140625" style="48"/>
    <col min="7436" max="7436" width="9.88671875" style="48" customWidth="1"/>
    <col min="7437" max="7437" width="1.6640625" style="48" customWidth="1"/>
    <col min="7438" max="7439" width="11.44140625" style="48"/>
    <col min="7440" max="7440" width="7.33203125" style="48" customWidth="1"/>
    <col min="7441" max="7444" width="11.44140625" style="48"/>
    <col min="7445" max="7445" width="3" style="48" customWidth="1"/>
    <col min="7446" max="7682" width="11.44140625" style="48"/>
    <col min="7683" max="7683" width="1" style="48" customWidth="1"/>
    <col min="7684" max="7684" width="12.44140625" style="48" customWidth="1"/>
    <col min="7685" max="7686" width="11.44140625" style="48"/>
    <col min="7687" max="7687" width="7.88671875" style="48" customWidth="1"/>
    <col min="7688" max="7688" width="5.44140625" style="48" customWidth="1"/>
    <col min="7689" max="7689" width="11.44140625" style="48"/>
    <col min="7690" max="7690" width="1.6640625" style="48" customWidth="1"/>
    <col min="7691" max="7691" width="11.44140625" style="48"/>
    <col min="7692" max="7692" width="9.88671875" style="48" customWidth="1"/>
    <col min="7693" max="7693" width="1.6640625" style="48" customWidth="1"/>
    <col min="7694" max="7695" width="11.44140625" style="48"/>
    <col min="7696" max="7696" width="7.33203125" style="48" customWidth="1"/>
    <col min="7697" max="7700" width="11.44140625" style="48"/>
    <col min="7701" max="7701" width="3" style="48" customWidth="1"/>
    <col min="7702" max="7938" width="11.44140625" style="48"/>
    <col min="7939" max="7939" width="1" style="48" customWidth="1"/>
    <col min="7940" max="7940" width="12.44140625" style="48" customWidth="1"/>
    <col min="7941" max="7942" width="11.44140625" style="48"/>
    <col min="7943" max="7943" width="7.88671875" style="48" customWidth="1"/>
    <col min="7944" max="7944" width="5.44140625" style="48" customWidth="1"/>
    <col min="7945" max="7945" width="11.44140625" style="48"/>
    <col min="7946" max="7946" width="1.6640625" style="48" customWidth="1"/>
    <col min="7947" max="7947" width="11.44140625" style="48"/>
    <col min="7948" max="7948" width="9.88671875" style="48" customWidth="1"/>
    <col min="7949" max="7949" width="1.6640625" style="48" customWidth="1"/>
    <col min="7950" max="7951" width="11.44140625" style="48"/>
    <col min="7952" max="7952" width="7.33203125" style="48" customWidth="1"/>
    <col min="7953" max="7956" width="11.44140625" style="48"/>
    <col min="7957" max="7957" width="3" style="48" customWidth="1"/>
    <col min="7958" max="8194" width="11.44140625" style="48"/>
    <col min="8195" max="8195" width="1" style="48" customWidth="1"/>
    <col min="8196" max="8196" width="12.44140625" style="48" customWidth="1"/>
    <col min="8197" max="8198" width="11.44140625" style="48"/>
    <col min="8199" max="8199" width="7.88671875" style="48" customWidth="1"/>
    <col min="8200" max="8200" width="5.44140625" style="48" customWidth="1"/>
    <col min="8201" max="8201" width="11.44140625" style="48"/>
    <col min="8202" max="8202" width="1.6640625" style="48" customWidth="1"/>
    <col min="8203" max="8203" width="11.44140625" style="48"/>
    <col min="8204" max="8204" width="9.88671875" style="48" customWidth="1"/>
    <col min="8205" max="8205" width="1.6640625" style="48" customWidth="1"/>
    <col min="8206" max="8207" width="11.44140625" style="48"/>
    <col min="8208" max="8208" width="7.33203125" style="48" customWidth="1"/>
    <col min="8209" max="8212" width="11.44140625" style="48"/>
    <col min="8213" max="8213" width="3" style="48" customWidth="1"/>
    <col min="8214" max="8450" width="11.44140625" style="48"/>
    <col min="8451" max="8451" width="1" style="48" customWidth="1"/>
    <col min="8452" max="8452" width="12.44140625" style="48" customWidth="1"/>
    <col min="8453" max="8454" width="11.44140625" style="48"/>
    <col min="8455" max="8455" width="7.88671875" style="48" customWidth="1"/>
    <col min="8456" max="8456" width="5.44140625" style="48" customWidth="1"/>
    <col min="8457" max="8457" width="11.44140625" style="48"/>
    <col min="8458" max="8458" width="1.6640625" style="48" customWidth="1"/>
    <col min="8459" max="8459" width="11.44140625" style="48"/>
    <col min="8460" max="8460" width="9.88671875" style="48" customWidth="1"/>
    <col min="8461" max="8461" width="1.6640625" style="48" customWidth="1"/>
    <col min="8462" max="8463" width="11.44140625" style="48"/>
    <col min="8464" max="8464" width="7.33203125" style="48" customWidth="1"/>
    <col min="8465" max="8468" width="11.44140625" style="48"/>
    <col min="8469" max="8469" width="3" style="48" customWidth="1"/>
    <col min="8470" max="8706" width="11.44140625" style="48"/>
    <col min="8707" max="8707" width="1" style="48" customWidth="1"/>
    <col min="8708" max="8708" width="12.44140625" style="48" customWidth="1"/>
    <col min="8709" max="8710" width="11.44140625" style="48"/>
    <col min="8711" max="8711" width="7.88671875" style="48" customWidth="1"/>
    <col min="8712" max="8712" width="5.44140625" style="48" customWidth="1"/>
    <col min="8713" max="8713" width="11.44140625" style="48"/>
    <col min="8714" max="8714" width="1.6640625" style="48" customWidth="1"/>
    <col min="8715" max="8715" width="11.44140625" style="48"/>
    <col min="8716" max="8716" width="9.88671875" style="48" customWidth="1"/>
    <col min="8717" max="8717" width="1.6640625" style="48" customWidth="1"/>
    <col min="8718" max="8719" width="11.44140625" style="48"/>
    <col min="8720" max="8720" width="7.33203125" style="48" customWidth="1"/>
    <col min="8721" max="8724" width="11.44140625" style="48"/>
    <col min="8725" max="8725" width="3" style="48" customWidth="1"/>
    <col min="8726" max="8962" width="11.44140625" style="48"/>
    <col min="8963" max="8963" width="1" style="48" customWidth="1"/>
    <col min="8964" max="8964" width="12.44140625" style="48" customWidth="1"/>
    <col min="8965" max="8966" width="11.44140625" style="48"/>
    <col min="8967" max="8967" width="7.88671875" style="48" customWidth="1"/>
    <col min="8968" max="8968" width="5.44140625" style="48" customWidth="1"/>
    <col min="8969" max="8969" width="11.44140625" style="48"/>
    <col min="8970" max="8970" width="1.6640625" style="48" customWidth="1"/>
    <col min="8971" max="8971" width="11.44140625" style="48"/>
    <col min="8972" max="8972" width="9.88671875" style="48" customWidth="1"/>
    <col min="8973" max="8973" width="1.6640625" style="48" customWidth="1"/>
    <col min="8974" max="8975" width="11.44140625" style="48"/>
    <col min="8976" max="8976" width="7.33203125" style="48" customWidth="1"/>
    <col min="8977" max="8980" width="11.44140625" style="48"/>
    <col min="8981" max="8981" width="3" style="48" customWidth="1"/>
    <col min="8982" max="9218" width="11.44140625" style="48"/>
    <col min="9219" max="9219" width="1" style="48" customWidth="1"/>
    <col min="9220" max="9220" width="12.44140625" style="48" customWidth="1"/>
    <col min="9221" max="9222" width="11.44140625" style="48"/>
    <col min="9223" max="9223" width="7.88671875" style="48" customWidth="1"/>
    <col min="9224" max="9224" width="5.44140625" style="48" customWidth="1"/>
    <col min="9225" max="9225" width="11.44140625" style="48"/>
    <col min="9226" max="9226" width="1.6640625" style="48" customWidth="1"/>
    <col min="9227" max="9227" width="11.44140625" style="48"/>
    <col min="9228" max="9228" width="9.88671875" style="48" customWidth="1"/>
    <col min="9229" max="9229" width="1.6640625" style="48" customWidth="1"/>
    <col min="9230" max="9231" width="11.44140625" style="48"/>
    <col min="9232" max="9232" width="7.33203125" style="48" customWidth="1"/>
    <col min="9233" max="9236" width="11.44140625" style="48"/>
    <col min="9237" max="9237" width="3" style="48" customWidth="1"/>
    <col min="9238" max="9474" width="11.44140625" style="48"/>
    <col min="9475" max="9475" width="1" style="48" customWidth="1"/>
    <col min="9476" max="9476" width="12.44140625" style="48" customWidth="1"/>
    <col min="9477" max="9478" width="11.44140625" style="48"/>
    <col min="9479" max="9479" width="7.88671875" style="48" customWidth="1"/>
    <col min="9480" max="9480" width="5.44140625" style="48" customWidth="1"/>
    <col min="9481" max="9481" width="11.44140625" style="48"/>
    <col min="9482" max="9482" width="1.6640625" style="48" customWidth="1"/>
    <col min="9483" max="9483" width="11.44140625" style="48"/>
    <col min="9484" max="9484" width="9.88671875" style="48" customWidth="1"/>
    <col min="9485" max="9485" width="1.6640625" style="48" customWidth="1"/>
    <col min="9486" max="9487" width="11.44140625" style="48"/>
    <col min="9488" max="9488" width="7.33203125" style="48" customWidth="1"/>
    <col min="9489" max="9492" width="11.44140625" style="48"/>
    <col min="9493" max="9493" width="3" style="48" customWidth="1"/>
    <col min="9494" max="9730" width="11.44140625" style="48"/>
    <col min="9731" max="9731" width="1" style="48" customWidth="1"/>
    <col min="9732" max="9732" width="12.44140625" style="48" customWidth="1"/>
    <col min="9733" max="9734" width="11.44140625" style="48"/>
    <col min="9735" max="9735" width="7.88671875" style="48" customWidth="1"/>
    <col min="9736" max="9736" width="5.44140625" style="48" customWidth="1"/>
    <col min="9737" max="9737" width="11.44140625" style="48"/>
    <col min="9738" max="9738" width="1.6640625" style="48" customWidth="1"/>
    <col min="9739" max="9739" width="11.44140625" style="48"/>
    <col min="9740" max="9740" width="9.88671875" style="48" customWidth="1"/>
    <col min="9741" max="9741" width="1.6640625" style="48" customWidth="1"/>
    <col min="9742" max="9743" width="11.44140625" style="48"/>
    <col min="9744" max="9744" width="7.33203125" style="48" customWidth="1"/>
    <col min="9745" max="9748" width="11.44140625" style="48"/>
    <col min="9749" max="9749" width="3" style="48" customWidth="1"/>
    <col min="9750" max="9986" width="11.44140625" style="48"/>
    <col min="9987" max="9987" width="1" style="48" customWidth="1"/>
    <col min="9988" max="9988" width="12.44140625" style="48" customWidth="1"/>
    <col min="9989" max="9990" width="11.44140625" style="48"/>
    <col min="9991" max="9991" width="7.88671875" style="48" customWidth="1"/>
    <col min="9992" max="9992" width="5.44140625" style="48" customWidth="1"/>
    <col min="9993" max="9993" width="11.44140625" style="48"/>
    <col min="9994" max="9994" width="1.6640625" style="48" customWidth="1"/>
    <col min="9995" max="9995" width="11.44140625" style="48"/>
    <col min="9996" max="9996" width="9.88671875" style="48" customWidth="1"/>
    <col min="9997" max="9997" width="1.6640625" style="48" customWidth="1"/>
    <col min="9998" max="9999" width="11.44140625" style="48"/>
    <col min="10000" max="10000" width="7.33203125" style="48" customWidth="1"/>
    <col min="10001" max="10004" width="11.44140625" style="48"/>
    <col min="10005" max="10005" width="3" style="48" customWidth="1"/>
    <col min="10006" max="10242" width="11.44140625" style="48"/>
    <col min="10243" max="10243" width="1" style="48" customWidth="1"/>
    <col min="10244" max="10244" width="12.44140625" style="48" customWidth="1"/>
    <col min="10245" max="10246" width="11.44140625" style="48"/>
    <col min="10247" max="10247" width="7.88671875" style="48" customWidth="1"/>
    <col min="10248" max="10248" width="5.44140625" style="48" customWidth="1"/>
    <col min="10249" max="10249" width="11.44140625" style="48"/>
    <col min="10250" max="10250" width="1.6640625" style="48" customWidth="1"/>
    <col min="10251" max="10251" width="11.44140625" style="48"/>
    <col min="10252" max="10252" width="9.88671875" style="48" customWidth="1"/>
    <col min="10253" max="10253" width="1.6640625" style="48" customWidth="1"/>
    <col min="10254" max="10255" width="11.44140625" style="48"/>
    <col min="10256" max="10256" width="7.33203125" style="48" customWidth="1"/>
    <col min="10257" max="10260" width="11.44140625" style="48"/>
    <col min="10261" max="10261" width="3" style="48" customWidth="1"/>
    <col min="10262" max="10498" width="11.44140625" style="48"/>
    <col min="10499" max="10499" width="1" style="48" customWidth="1"/>
    <col min="10500" max="10500" width="12.44140625" style="48" customWidth="1"/>
    <col min="10501" max="10502" width="11.44140625" style="48"/>
    <col min="10503" max="10503" width="7.88671875" style="48" customWidth="1"/>
    <col min="10504" max="10504" width="5.44140625" style="48" customWidth="1"/>
    <col min="10505" max="10505" width="11.44140625" style="48"/>
    <col min="10506" max="10506" width="1.6640625" style="48" customWidth="1"/>
    <col min="10507" max="10507" width="11.44140625" style="48"/>
    <col min="10508" max="10508" width="9.88671875" style="48" customWidth="1"/>
    <col min="10509" max="10509" width="1.6640625" style="48" customWidth="1"/>
    <col min="10510" max="10511" width="11.44140625" style="48"/>
    <col min="10512" max="10512" width="7.33203125" style="48" customWidth="1"/>
    <col min="10513" max="10516" width="11.44140625" style="48"/>
    <col min="10517" max="10517" width="3" style="48" customWidth="1"/>
    <col min="10518" max="10754" width="11.44140625" style="48"/>
    <col min="10755" max="10755" width="1" style="48" customWidth="1"/>
    <col min="10756" max="10756" width="12.44140625" style="48" customWidth="1"/>
    <col min="10757" max="10758" width="11.44140625" style="48"/>
    <col min="10759" max="10759" width="7.88671875" style="48" customWidth="1"/>
    <col min="10760" max="10760" width="5.44140625" style="48" customWidth="1"/>
    <col min="10761" max="10761" width="11.44140625" style="48"/>
    <col min="10762" max="10762" width="1.6640625" style="48" customWidth="1"/>
    <col min="10763" max="10763" width="11.44140625" style="48"/>
    <col min="10764" max="10764" width="9.88671875" style="48" customWidth="1"/>
    <col min="10765" max="10765" width="1.6640625" style="48" customWidth="1"/>
    <col min="10766" max="10767" width="11.44140625" style="48"/>
    <col min="10768" max="10768" width="7.33203125" style="48" customWidth="1"/>
    <col min="10769" max="10772" width="11.44140625" style="48"/>
    <col min="10773" max="10773" width="3" style="48" customWidth="1"/>
    <col min="10774" max="11010" width="11.44140625" style="48"/>
    <col min="11011" max="11011" width="1" style="48" customWidth="1"/>
    <col min="11012" max="11012" width="12.44140625" style="48" customWidth="1"/>
    <col min="11013" max="11014" width="11.44140625" style="48"/>
    <col min="11015" max="11015" width="7.88671875" style="48" customWidth="1"/>
    <col min="11016" max="11016" width="5.44140625" style="48" customWidth="1"/>
    <col min="11017" max="11017" width="11.44140625" style="48"/>
    <col min="11018" max="11018" width="1.6640625" style="48" customWidth="1"/>
    <col min="11019" max="11019" width="11.44140625" style="48"/>
    <col min="11020" max="11020" width="9.88671875" style="48" customWidth="1"/>
    <col min="11021" max="11021" width="1.6640625" style="48" customWidth="1"/>
    <col min="11022" max="11023" width="11.44140625" style="48"/>
    <col min="11024" max="11024" width="7.33203125" style="48" customWidth="1"/>
    <col min="11025" max="11028" width="11.44140625" style="48"/>
    <col min="11029" max="11029" width="3" style="48" customWidth="1"/>
    <col min="11030" max="11266" width="11.44140625" style="48"/>
    <col min="11267" max="11267" width="1" style="48" customWidth="1"/>
    <col min="11268" max="11268" width="12.44140625" style="48" customWidth="1"/>
    <col min="11269" max="11270" width="11.44140625" style="48"/>
    <col min="11271" max="11271" width="7.88671875" style="48" customWidth="1"/>
    <col min="11272" max="11272" width="5.44140625" style="48" customWidth="1"/>
    <col min="11273" max="11273" width="11.44140625" style="48"/>
    <col min="11274" max="11274" width="1.6640625" style="48" customWidth="1"/>
    <col min="11275" max="11275" width="11.44140625" style="48"/>
    <col min="11276" max="11276" width="9.88671875" style="48" customWidth="1"/>
    <col min="11277" max="11277" width="1.6640625" style="48" customWidth="1"/>
    <col min="11278" max="11279" width="11.44140625" style="48"/>
    <col min="11280" max="11280" width="7.33203125" style="48" customWidth="1"/>
    <col min="11281" max="11284" width="11.44140625" style="48"/>
    <col min="11285" max="11285" width="3" style="48" customWidth="1"/>
    <col min="11286" max="11522" width="11.44140625" style="48"/>
    <col min="11523" max="11523" width="1" style="48" customWidth="1"/>
    <col min="11524" max="11524" width="12.44140625" style="48" customWidth="1"/>
    <col min="11525" max="11526" width="11.44140625" style="48"/>
    <col min="11527" max="11527" width="7.88671875" style="48" customWidth="1"/>
    <col min="11528" max="11528" width="5.44140625" style="48" customWidth="1"/>
    <col min="11529" max="11529" width="11.44140625" style="48"/>
    <col min="11530" max="11530" width="1.6640625" style="48" customWidth="1"/>
    <col min="11531" max="11531" width="11.44140625" style="48"/>
    <col min="11532" max="11532" width="9.88671875" style="48" customWidth="1"/>
    <col min="11533" max="11533" width="1.6640625" style="48" customWidth="1"/>
    <col min="11534" max="11535" width="11.44140625" style="48"/>
    <col min="11536" max="11536" width="7.33203125" style="48" customWidth="1"/>
    <col min="11537" max="11540" width="11.44140625" style="48"/>
    <col min="11541" max="11541" width="3" style="48" customWidth="1"/>
    <col min="11542" max="11778" width="11.44140625" style="48"/>
    <col min="11779" max="11779" width="1" style="48" customWidth="1"/>
    <col min="11780" max="11780" width="12.44140625" style="48" customWidth="1"/>
    <col min="11781" max="11782" width="11.44140625" style="48"/>
    <col min="11783" max="11783" width="7.88671875" style="48" customWidth="1"/>
    <col min="11784" max="11784" width="5.44140625" style="48" customWidth="1"/>
    <col min="11785" max="11785" width="11.44140625" style="48"/>
    <col min="11786" max="11786" width="1.6640625" style="48" customWidth="1"/>
    <col min="11787" max="11787" width="11.44140625" style="48"/>
    <col min="11788" max="11788" width="9.88671875" style="48" customWidth="1"/>
    <col min="11789" max="11789" width="1.6640625" style="48" customWidth="1"/>
    <col min="11790" max="11791" width="11.44140625" style="48"/>
    <col min="11792" max="11792" width="7.33203125" style="48" customWidth="1"/>
    <col min="11793" max="11796" width="11.44140625" style="48"/>
    <col min="11797" max="11797" width="3" style="48" customWidth="1"/>
    <col min="11798" max="12034" width="11.44140625" style="48"/>
    <col min="12035" max="12035" width="1" style="48" customWidth="1"/>
    <col min="12036" max="12036" width="12.44140625" style="48" customWidth="1"/>
    <col min="12037" max="12038" width="11.44140625" style="48"/>
    <col min="12039" max="12039" width="7.88671875" style="48" customWidth="1"/>
    <col min="12040" max="12040" width="5.44140625" style="48" customWidth="1"/>
    <col min="12041" max="12041" width="11.44140625" style="48"/>
    <col min="12042" max="12042" width="1.6640625" style="48" customWidth="1"/>
    <col min="12043" max="12043" width="11.44140625" style="48"/>
    <col min="12044" max="12044" width="9.88671875" style="48" customWidth="1"/>
    <col min="12045" max="12045" width="1.6640625" style="48" customWidth="1"/>
    <col min="12046" max="12047" width="11.44140625" style="48"/>
    <col min="12048" max="12048" width="7.33203125" style="48" customWidth="1"/>
    <col min="12049" max="12052" width="11.44140625" style="48"/>
    <col min="12053" max="12053" width="3" style="48" customWidth="1"/>
    <col min="12054" max="12290" width="11.44140625" style="48"/>
    <col min="12291" max="12291" width="1" style="48" customWidth="1"/>
    <col min="12292" max="12292" width="12.44140625" style="48" customWidth="1"/>
    <col min="12293" max="12294" width="11.44140625" style="48"/>
    <col min="12295" max="12295" width="7.88671875" style="48" customWidth="1"/>
    <col min="12296" max="12296" width="5.44140625" style="48" customWidth="1"/>
    <col min="12297" max="12297" width="11.44140625" style="48"/>
    <col min="12298" max="12298" width="1.6640625" style="48" customWidth="1"/>
    <col min="12299" max="12299" width="11.44140625" style="48"/>
    <col min="12300" max="12300" width="9.88671875" style="48" customWidth="1"/>
    <col min="12301" max="12301" width="1.6640625" style="48" customWidth="1"/>
    <col min="12302" max="12303" width="11.44140625" style="48"/>
    <col min="12304" max="12304" width="7.33203125" style="48" customWidth="1"/>
    <col min="12305" max="12308" width="11.44140625" style="48"/>
    <col min="12309" max="12309" width="3" style="48" customWidth="1"/>
    <col min="12310" max="12546" width="11.44140625" style="48"/>
    <col min="12547" max="12547" width="1" style="48" customWidth="1"/>
    <col min="12548" max="12548" width="12.44140625" style="48" customWidth="1"/>
    <col min="12549" max="12550" width="11.44140625" style="48"/>
    <col min="12551" max="12551" width="7.88671875" style="48" customWidth="1"/>
    <col min="12552" max="12552" width="5.44140625" style="48" customWidth="1"/>
    <col min="12553" max="12553" width="11.44140625" style="48"/>
    <col min="12554" max="12554" width="1.6640625" style="48" customWidth="1"/>
    <col min="12555" max="12555" width="11.44140625" style="48"/>
    <col min="12556" max="12556" width="9.88671875" style="48" customWidth="1"/>
    <col min="12557" max="12557" width="1.6640625" style="48" customWidth="1"/>
    <col min="12558" max="12559" width="11.44140625" style="48"/>
    <col min="12560" max="12560" width="7.33203125" style="48" customWidth="1"/>
    <col min="12561" max="12564" width="11.44140625" style="48"/>
    <col min="12565" max="12565" width="3" style="48" customWidth="1"/>
    <col min="12566" max="12802" width="11.44140625" style="48"/>
    <col min="12803" max="12803" width="1" style="48" customWidth="1"/>
    <col min="12804" max="12804" width="12.44140625" style="48" customWidth="1"/>
    <col min="12805" max="12806" width="11.44140625" style="48"/>
    <col min="12807" max="12807" width="7.88671875" style="48" customWidth="1"/>
    <col min="12808" max="12808" width="5.44140625" style="48" customWidth="1"/>
    <col min="12809" max="12809" width="11.44140625" style="48"/>
    <col min="12810" max="12810" width="1.6640625" style="48" customWidth="1"/>
    <col min="12811" max="12811" width="11.44140625" style="48"/>
    <col min="12812" max="12812" width="9.88671875" style="48" customWidth="1"/>
    <col min="12813" max="12813" width="1.6640625" style="48" customWidth="1"/>
    <col min="12814" max="12815" width="11.44140625" style="48"/>
    <col min="12816" max="12816" width="7.33203125" style="48" customWidth="1"/>
    <col min="12817" max="12820" width="11.44140625" style="48"/>
    <col min="12821" max="12821" width="3" style="48" customWidth="1"/>
    <col min="12822" max="13058" width="11.44140625" style="48"/>
    <col min="13059" max="13059" width="1" style="48" customWidth="1"/>
    <col min="13060" max="13060" width="12.44140625" style="48" customWidth="1"/>
    <col min="13061" max="13062" width="11.44140625" style="48"/>
    <col min="13063" max="13063" width="7.88671875" style="48" customWidth="1"/>
    <col min="13064" max="13064" width="5.44140625" style="48" customWidth="1"/>
    <col min="13065" max="13065" width="11.44140625" style="48"/>
    <col min="13066" max="13066" width="1.6640625" style="48" customWidth="1"/>
    <col min="13067" max="13067" width="11.44140625" style="48"/>
    <col min="13068" max="13068" width="9.88671875" style="48" customWidth="1"/>
    <col min="13069" max="13069" width="1.6640625" style="48" customWidth="1"/>
    <col min="13070" max="13071" width="11.44140625" style="48"/>
    <col min="13072" max="13072" width="7.33203125" style="48" customWidth="1"/>
    <col min="13073" max="13076" width="11.44140625" style="48"/>
    <col min="13077" max="13077" width="3" style="48" customWidth="1"/>
    <col min="13078" max="13314" width="11.44140625" style="48"/>
    <col min="13315" max="13315" width="1" style="48" customWidth="1"/>
    <col min="13316" max="13316" width="12.44140625" style="48" customWidth="1"/>
    <col min="13317" max="13318" width="11.44140625" style="48"/>
    <col min="13319" max="13319" width="7.88671875" style="48" customWidth="1"/>
    <col min="13320" max="13320" width="5.44140625" style="48" customWidth="1"/>
    <col min="13321" max="13321" width="11.44140625" style="48"/>
    <col min="13322" max="13322" width="1.6640625" style="48" customWidth="1"/>
    <col min="13323" max="13323" width="11.44140625" style="48"/>
    <col min="13324" max="13324" width="9.88671875" style="48" customWidth="1"/>
    <col min="13325" max="13325" width="1.6640625" style="48" customWidth="1"/>
    <col min="13326" max="13327" width="11.44140625" style="48"/>
    <col min="13328" max="13328" width="7.33203125" style="48" customWidth="1"/>
    <col min="13329" max="13332" width="11.44140625" style="48"/>
    <col min="13333" max="13333" width="3" style="48" customWidth="1"/>
    <col min="13334" max="13570" width="11.44140625" style="48"/>
    <col min="13571" max="13571" width="1" style="48" customWidth="1"/>
    <col min="13572" max="13572" width="12.44140625" style="48" customWidth="1"/>
    <col min="13573" max="13574" width="11.44140625" style="48"/>
    <col min="13575" max="13575" width="7.88671875" style="48" customWidth="1"/>
    <col min="13576" max="13576" width="5.44140625" style="48" customWidth="1"/>
    <col min="13577" max="13577" width="11.44140625" style="48"/>
    <col min="13578" max="13578" width="1.6640625" style="48" customWidth="1"/>
    <col min="13579" max="13579" width="11.44140625" style="48"/>
    <col min="13580" max="13580" width="9.88671875" style="48" customWidth="1"/>
    <col min="13581" max="13581" width="1.6640625" style="48" customWidth="1"/>
    <col min="13582" max="13583" width="11.44140625" style="48"/>
    <col min="13584" max="13584" width="7.33203125" style="48" customWidth="1"/>
    <col min="13585" max="13588" width="11.44140625" style="48"/>
    <col min="13589" max="13589" width="3" style="48" customWidth="1"/>
    <col min="13590" max="13826" width="11.44140625" style="48"/>
    <col min="13827" max="13827" width="1" style="48" customWidth="1"/>
    <col min="13828" max="13828" width="12.44140625" style="48" customWidth="1"/>
    <col min="13829" max="13830" width="11.44140625" style="48"/>
    <col min="13831" max="13831" width="7.88671875" style="48" customWidth="1"/>
    <col min="13832" max="13832" width="5.44140625" style="48" customWidth="1"/>
    <col min="13833" max="13833" width="11.44140625" style="48"/>
    <col min="13834" max="13834" width="1.6640625" style="48" customWidth="1"/>
    <col min="13835" max="13835" width="11.44140625" style="48"/>
    <col min="13836" max="13836" width="9.88671875" style="48" customWidth="1"/>
    <col min="13837" max="13837" width="1.6640625" style="48" customWidth="1"/>
    <col min="13838" max="13839" width="11.44140625" style="48"/>
    <col min="13840" max="13840" width="7.33203125" style="48" customWidth="1"/>
    <col min="13841" max="13844" width="11.44140625" style="48"/>
    <col min="13845" max="13845" width="3" style="48" customWidth="1"/>
    <col min="13846" max="14082" width="11.44140625" style="48"/>
    <col min="14083" max="14083" width="1" style="48" customWidth="1"/>
    <col min="14084" max="14084" width="12.44140625" style="48" customWidth="1"/>
    <col min="14085" max="14086" width="11.44140625" style="48"/>
    <col min="14087" max="14087" width="7.88671875" style="48" customWidth="1"/>
    <col min="14088" max="14088" width="5.44140625" style="48" customWidth="1"/>
    <col min="14089" max="14089" width="11.44140625" style="48"/>
    <col min="14090" max="14090" width="1.6640625" style="48" customWidth="1"/>
    <col min="14091" max="14091" width="11.44140625" style="48"/>
    <col min="14092" max="14092" width="9.88671875" style="48" customWidth="1"/>
    <col min="14093" max="14093" width="1.6640625" style="48" customWidth="1"/>
    <col min="14094" max="14095" width="11.44140625" style="48"/>
    <col min="14096" max="14096" width="7.33203125" style="48" customWidth="1"/>
    <col min="14097" max="14100" width="11.44140625" style="48"/>
    <col min="14101" max="14101" width="3" style="48" customWidth="1"/>
    <col min="14102" max="14338" width="11.44140625" style="48"/>
    <col min="14339" max="14339" width="1" style="48" customWidth="1"/>
    <col min="14340" max="14340" width="12.44140625" style="48" customWidth="1"/>
    <col min="14341" max="14342" width="11.44140625" style="48"/>
    <col min="14343" max="14343" width="7.88671875" style="48" customWidth="1"/>
    <col min="14344" max="14344" width="5.44140625" style="48" customWidth="1"/>
    <col min="14345" max="14345" width="11.44140625" style="48"/>
    <col min="14346" max="14346" width="1.6640625" style="48" customWidth="1"/>
    <col min="14347" max="14347" width="11.44140625" style="48"/>
    <col min="14348" max="14348" width="9.88671875" style="48" customWidth="1"/>
    <col min="14349" max="14349" width="1.6640625" style="48" customWidth="1"/>
    <col min="14350" max="14351" width="11.44140625" style="48"/>
    <col min="14352" max="14352" width="7.33203125" style="48" customWidth="1"/>
    <col min="14353" max="14356" width="11.44140625" style="48"/>
    <col min="14357" max="14357" width="3" style="48" customWidth="1"/>
    <col min="14358" max="14594" width="11.44140625" style="48"/>
    <col min="14595" max="14595" width="1" style="48" customWidth="1"/>
    <col min="14596" max="14596" width="12.44140625" style="48" customWidth="1"/>
    <col min="14597" max="14598" width="11.44140625" style="48"/>
    <col min="14599" max="14599" width="7.88671875" style="48" customWidth="1"/>
    <col min="14600" max="14600" width="5.44140625" style="48" customWidth="1"/>
    <col min="14601" max="14601" width="11.44140625" style="48"/>
    <col min="14602" max="14602" width="1.6640625" style="48" customWidth="1"/>
    <col min="14603" max="14603" width="11.44140625" style="48"/>
    <col min="14604" max="14604" width="9.88671875" style="48" customWidth="1"/>
    <col min="14605" max="14605" width="1.6640625" style="48" customWidth="1"/>
    <col min="14606" max="14607" width="11.44140625" style="48"/>
    <col min="14608" max="14608" width="7.33203125" style="48" customWidth="1"/>
    <col min="14609" max="14612" width="11.44140625" style="48"/>
    <col min="14613" max="14613" width="3" style="48" customWidth="1"/>
    <col min="14614" max="14850" width="11.44140625" style="48"/>
    <col min="14851" max="14851" width="1" style="48" customWidth="1"/>
    <col min="14852" max="14852" width="12.44140625" style="48" customWidth="1"/>
    <col min="14853" max="14854" width="11.44140625" style="48"/>
    <col min="14855" max="14855" width="7.88671875" style="48" customWidth="1"/>
    <col min="14856" max="14856" width="5.44140625" style="48" customWidth="1"/>
    <col min="14857" max="14857" width="11.44140625" style="48"/>
    <col min="14858" max="14858" width="1.6640625" style="48" customWidth="1"/>
    <col min="14859" max="14859" width="11.44140625" style="48"/>
    <col min="14860" max="14860" width="9.88671875" style="48" customWidth="1"/>
    <col min="14861" max="14861" width="1.6640625" style="48" customWidth="1"/>
    <col min="14862" max="14863" width="11.44140625" style="48"/>
    <col min="14864" max="14864" width="7.33203125" style="48" customWidth="1"/>
    <col min="14865" max="14868" width="11.44140625" style="48"/>
    <col min="14869" max="14869" width="3" style="48" customWidth="1"/>
    <col min="14870" max="15106" width="11.44140625" style="48"/>
    <col min="15107" max="15107" width="1" style="48" customWidth="1"/>
    <col min="15108" max="15108" width="12.44140625" style="48" customWidth="1"/>
    <col min="15109" max="15110" width="11.44140625" style="48"/>
    <col min="15111" max="15111" width="7.88671875" style="48" customWidth="1"/>
    <col min="15112" max="15112" width="5.44140625" style="48" customWidth="1"/>
    <col min="15113" max="15113" width="11.44140625" style="48"/>
    <col min="15114" max="15114" width="1.6640625" style="48" customWidth="1"/>
    <col min="15115" max="15115" width="11.44140625" style="48"/>
    <col min="15116" max="15116" width="9.88671875" style="48" customWidth="1"/>
    <col min="15117" max="15117" width="1.6640625" style="48" customWidth="1"/>
    <col min="15118" max="15119" width="11.44140625" style="48"/>
    <col min="15120" max="15120" width="7.33203125" style="48" customWidth="1"/>
    <col min="15121" max="15124" width="11.44140625" style="48"/>
    <col min="15125" max="15125" width="3" style="48" customWidth="1"/>
    <col min="15126" max="15362" width="11.44140625" style="48"/>
    <col min="15363" max="15363" width="1" style="48" customWidth="1"/>
    <col min="15364" max="15364" width="12.44140625" style="48" customWidth="1"/>
    <col min="15365" max="15366" width="11.44140625" style="48"/>
    <col min="15367" max="15367" width="7.88671875" style="48" customWidth="1"/>
    <col min="15368" max="15368" width="5.44140625" style="48" customWidth="1"/>
    <col min="15369" max="15369" width="11.44140625" style="48"/>
    <col min="15370" max="15370" width="1.6640625" style="48" customWidth="1"/>
    <col min="15371" max="15371" width="11.44140625" style="48"/>
    <col min="15372" max="15372" width="9.88671875" style="48" customWidth="1"/>
    <col min="15373" max="15373" width="1.6640625" style="48" customWidth="1"/>
    <col min="15374" max="15375" width="11.44140625" style="48"/>
    <col min="15376" max="15376" width="7.33203125" style="48" customWidth="1"/>
    <col min="15377" max="15380" width="11.44140625" style="48"/>
    <col min="15381" max="15381" width="3" style="48" customWidth="1"/>
    <col min="15382" max="15618" width="11.44140625" style="48"/>
    <col min="15619" max="15619" width="1" style="48" customWidth="1"/>
    <col min="15620" max="15620" width="12.44140625" style="48" customWidth="1"/>
    <col min="15621" max="15622" width="11.44140625" style="48"/>
    <col min="15623" max="15623" width="7.88671875" style="48" customWidth="1"/>
    <col min="15624" max="15624" width="5.44140625" style="48" customWidth="1"/>
    <col min="15625" max="15625" width="11.44140625" style="48"/>
    <col min="15626" max="15626" width="1.6640625" style="48" customWidth="1"/>
    <col min="15627" max="15627" width="11.44140625" style="48"/>
    <col min="15628" max="15628" width="9.88671875" style="48" customWidth="1"/>
    <col min="15629" max="15629" width="1.6640625" style="48" customWidth="1"/>
    <col min="15630" max="15631" width="11.44140625" style="48"/>
    <col min="15632" max="15632" width="7.33203125" style="48" customWidth="1"/>
    <col min="15633" max="15636" width="11.44140625" style="48"/>
    <col min="15637" max="15637" width="3" style="48" customWidth="1"/>
    <col min="15638" max="15874" width="11.44140625" style="48"/>
    <col min="15875" max="15875" width="1" style="48" customWidth="1"/>
    <col min="15876" max="15876" width="12.44140625" style="48" customWidth="1"/>
    <col min="15877" max="15878" width="11.44140625" style="48"/>
    <col min="15879" max="15879" width="7.88671875" style="48" customWidth="1"/>
    <col min="15880" max="15880" width="5.44140625" style="48" customWidth="1"/>
    <col min="15881" max="15881" width="11.44140625" style="48"/>
    <col min="15882" max="15882" width="1.6640625" style="48" customWidth="1"/>
    <col min="15883" max="15883" width="11.44140625" style="48"/>
    <col min="15884" max="15884" width="9.88671875" style="48" customWidth="1"/>
    <col min="15885" max="15885" width="1.6640625" style="48" customWidth="1"/>
    <col min="15886" max="15887" width="11.44140625" style="48"/>
    <col min="15888" max="15888" width="7.33203125" style="48" customWidth="1"/>
    <col min="15889" max="15892" width="11.44140625" style="48"/>
    <col min="15893" max="15893" width="3" style="48" customWidth="1"/>
    <col min="15894" max="16130" width="11.44140625" style="48"/>
    <col min="16131" max="16131" width="1" style="48" customWidth="1"/>
    <col min="16132" max="16132" width="12.44140625" style="48" customWidth="1"/>
    <col min="16133" max="16134" width="11.44140625" style="48"/>
    <col min="16135" max="16135" width="7.88671875" style="48" customWidth="1"/>
    <col min="16136" max="16136" width="5.44140625" style="48" customWidth="1"/>
    <col min="16137" max="16137" width="11.44140625" style="48"/>
    <col min="16138" max="16138" width="1.6640625" style="48" customWidth="1"/>
    <col min="16139" max="16139" width="11.44140625" style="48"/>
    <col min="16140" max="16140" width="9.88671875" style="48" customWidth="1"/>
    <col min="16141" max="16141" width="1.6640625" style="48" customWidth="1"/>
    <col min="16142" max="16143" width="11.44140625" style="48"/>
    <col min="16144" max="16144" width="7.33203125" style="48" customWidth="1"/>
    <col min="16145" max="16148" width="11.44140625" style="48"/>
    <col min="16149" max="16149" width="3" style="48" customWidth="1"/>
    <col min="16150" max="16384" width="11.44140625" style="48"/>
  </cols>
  <sheetData>
    <row r="1" spans="3:18" ht="19.95" customHeight="1" x14ac:dyDescent="0.25">
      <c r="C1" s="640" t="s">
        <v>444</v>
      </c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</row>
    <row r="3" spans="3:18" x14ac:dyDescent="0.25">
      <c r="C3" s="379" t="s">
        <v>335</v>
      </c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2"/>
    </row>
    <row r="4" spans="3:18" x14ac:dyDescent="0.25">
      <c r="C4" s="367"/>
      <c r="D4" s="368"/>
      <c r="E4" s="369"/>
      <c r="F4" s="365" t="s">
        <v>136</v>
      </c>
      <c r="G4" s="369"/>
      <c r="H4" s="369"/>
      <c r="I4" s="369"/>
      <c r="J4" s="365" t="s">
        <v>137</v>
      </c>
      <c r="K4" s="369"/>
      <c r="L4" s="369"/>
      <c r="M4" s="369"/>
      <c r="N4" s="369"/>
      <c r="O4" s="369"/>
      <c r="P4" s="365" t="s">
        <v>138</v>
      </c>
      <c r="Q4" s="370"/>
      <c r="R4" s="359"/>
    </row>
    <row r="5" spans="3:18" x14ac:dyDescent="0.25">
      <c r="C5" s="367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71"/>
    </row>
    <row r="6" spans="3:18" x14ac:dyDescent="0.25">
      <c r="C6" s="367"/>
      <c r="D6" s="368"/>
      <c r="E6" s="368"/>
      <c r="F6" s="368"/>
      <c r="G6" s="368"/>
      <c r="H6" s="368"/>
      <c r="I6" s="368"/>
      <c r="J6" s="368"/>
      <c r="K6" s="368"/>
      <c r="L6" s="368"/>
      <c r="M6" s="368" t="s">
        <v>140</v>
      </c>
      <c r="N6" s="372">
        <v>0.65</v>
      </c>
      <c r="O6" s="368"/>
      <c r="P6" s="368" t="s">
        <v>139</v>
      </c>
      <c r="Q6" s="371">
        <v>1500</v>
      </c>
    </row>
    <row r="7" spans="3:18" x14ac:dyDescent="0.25">
      <c r="C7" s="367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73"/>
      <c r="P7" s="368"/>
      <c r="Q7" s="371"/>
    </row>
    <row r="8" spans="3:18" x14ac:dyDescent="0.25">
      <c r="C8" s="367"/>
      <c r="D8" s="368"/>
      <c r="E8" s="368"/>
      <c r="F8" s="368"/>
      <c r="G8" s="368"/>
      <c r="H8" s="368" t="s">
        <v>342</v>
      </c>
      <c r="I8" s="372">
        <v>0.6</v>
      </c>
      <c r="J8" s="368" t="s">
        <v>139</v>
      </c>
      <c r="K8" s="366"/>
      <c r="L8" s="368"/>
      <c r="M8" s="368"/>
      <c r="N8" s="368"/>
      <c r="O8" s="368"/>
      <c r="P8" s="368" t="s">
        <v>141</v>
      </c>
      <c r="Q8" s="371">
        <v>1300</v>
      </c>
    </row>
    <row r="9" spans="3:18" x14ac:dyDescent="0.25">
      <c r="C9" s="367"/>
      <c r="D9" s="368"/>
      <c r="E9" s="368"/>
      <c r="F9" s="368"/>
      <c r="G9" s="372">
        <v>0.7</v>
      </c>
      <c r="H9" s="368"/>
      <c r="I9" s="373"/>
      <c r="J9" s="374">
        <v>1100</v>
      </c>
      <c r="K9" s="368"/>
      <c r="L9" s="368"/>
      <c r="M9" s="368"/>
      <c r="N9" s="372">
        <v>0.35</v>
      </c>
      <c r="O9" s="368"/>
      <c r="P9" s="368"/>
      <c r="Q9" s="371"/>
    </row>
    <row r="10" spans="3:18" x14ac:dyDescent="0.25">
      <c r="C10" s="367"/>
      <c r="D10" s="368"/>
      <c r="E10" s="368"/>
      <c r="F10" s="368" t="s">
        <v>142</v>
      </c>
      <c r="G10" s="373"/>
      <c r="H10" s="368"/>
      <c r="I10" s="373"/>
      <c r="J10" s="368"/>
      <c r="K10" s="368"/>
      <c r="L10" s="368"/>
      <c r="M10" s="368"/>
      <c r="N10" s="368"/>
      <c r="O10" s="368"/>
      <c r="P10" s="368"/>
      <c r="Q10" s="371"/>
    </row>
    <row r="11" spans="3:18" x14ac:dyDescent="0.25">
      <c r="C11" s="367"/>
      <c r="D11" s="368"/>
      <c r="E11" s="368"/>
      <c r="F11" s="368"/>
      <c r="G11" s="373"/>
      <c r="H11" s="368"/>
      <c r="I11" s="373"/>
      <c r="J11" s="368"/>
      <c r="K11" s="368"/>
      <c r="L11" s="368"/>
      <c r="M11" s="368" t="s">
        <v>143</v>
      </c>
      <c r="N11" s="368"/>
      <c r="O11" s="368"/>
      <c r="P11" s="368">
        <v>1300</v>
      </c>
      <c r="Q11" s="371"/>
    </row>
    <row r="12" spans="3:18" x14ac:dyDescent="0.25">
      <c r="C12" s="367"/>
      <c r="D12" s="368"/>
      <c r="E12" s="368"/>
      <c r="F12" s="368"/>
      <c r="G12" s="373"/>
      <c r="H12" s="368"/>
      <c r="I12" s="373"/>
      <c r="J12" s="368"/>
      <c r="K12" s="368"/>
      <c r="L12" s="368"/>
      <c r="M12" s="368"/>
      <c r="N12" s="368"/>
      <c r="O12" s="368"/>
      <c r="P12" s="368"/>
      <c r="Q12" s="371"/>
    </row>
    <row r="13" spans="3:18" x14ac:dyDescent="0.25">
      <c r="C13" s="367"/>
      <c r="D13" s="368"/>
      <c r="E13" s="368"/>
      <c r="F13" s="375">
        <v>-2000</v>
      </c>
      <c r="G13" s="373"/>
      <c r="H13" s="368"/>
      <c r="I13" s="372">
        <v>0.4</v>
      </c>
      <c r="J13" s="368" t="s">
        <v>141</v>
      </c>
      <c r="K13" s="368"/>
      <c r="L13" s="368"/>
      <c r="M13" s="368"/>
      <c r="N13" s="368"/>
      <c r="O13" s="368"/>
      <c r="P13" s="368"/>
      <c r="Q13" s="371"/>
    </row>
    <row r="14" spans="3:18" x14ac:dyDescent="0.25">
      <c r="C14" s="367"/>
      <c r="D14" s="368"/>
      <c r="E14" s="368"/>
      <c r="F14" s="368"/>
      <c r="G14" s="373"/>
      <c r="H14" s="368"/>
      <c r="I14" s="368"/>
      <c r="J14" s="374">
        <v>900</v>
      </c>
      <c r="K14" s="368"/>
      <c r="L14" s="368"/>
      <c r="M14" s="368"/>
      <c r="N14" s="368"/>
      <c r="O14" s="368"/>
      <c r="P14" s="368">
        <v>1000</v>
      </c>
      <c r="Q14" s="371"/>
    </row>
    <row r="15" spans="3:18" x14ac:dyDescent="0.25">
      <c r="C15" s="367"/>
      <c r="D15" s="368"/>
      <c r="E15" s="368"/>
      <c r="F15" s="368"/>
      <c r="G15" s="373"/>
      <c r="H15" s="368"/>
      <c r="I15" s="368"/>
      <c r="J15" s="374"/>
      <c r="K15" s="368"/>
      <c r="L15" s="368"/>
      <c r="M15" s="368"/>
      <c r="N15" s="368"/>
      <c r="O15" s="368"/>
      <c r="P15" s="368"/>
      <c r="Q15" s="371"/>
    </row>
    <row r="16" spans="3:18" x14ac:dyDescent="0.25">
      <c r="C16" s="367"/>
      <c r="D16" s="368"/>
      <c r="E16" s="368"/>
      <c r="F16" s="368"/>
      <c r="G16" s="373"/>
      <c r="H16" s="368"/>
      <c r="I16" s="368"/>
      <c r="J16" s="368"/>
      <c r="K16" s="368"/>
      <c r="L16" s="368"/>
      <c r="M16" s="368" t="s">
        <v>140</v>
      </c>
      <c r="N16" s="372">
        <v>0.8</v>
      </c>
      <c r="O16" s="368"/>
      <c r="P16" s="368" t="s">
        <v>139</v>
      </c>
      <c r="Q16" s="371">
        <v>1250</v>
      </c>
    </row>
    <row r="17" spans="3:17" x14ac:dyDescent="0.25">
      <c r="C17" s="367"/>
      <c r="D17" s="368"/>
      <c r="E17" s="368"/>
      <c r="F17" s="368"/>
      <c r="G17" s="373"/>
      <c r="H17" s="368"/>
      <c r="I17" s="368"/>
      <c r="J17" s="368"/>
      <c r="K17" s="368"/>
      <c r="L17" s="368"/>
      <c r="M17" s="368"/>
      <c r="N17" s="368"/>
      <c r="O17" s="373"/>
      <c r="P17" s="368"/>
      <c r="Q17" s="371"/>
    </row>
    <row r="18" spans="3:17" x14ac:dyDescent="0.25">
      <c r="C18" s="367"/>
      <c r="D18" s="368"/>
      <c r="E18" s="368"/>
      <c r="F18" s="368"/>
      <c r="G18" s="373"/>
      <c r="H18" s="368"/>
      <c r="I18" s="372">
        <v>0.6</v>
      </c>
      <c r="J18" s="368" t="s">
        <v>139</v>
      </c>
      <c r="K18" s="366"/>
      <c r="L18" s="368"/>
      <c r="M18" s="368"/>
      <c r="N18" s="368"/>
      <c r="O18" s="368"/>
      <c r="P18" s="368" t="s">
        <v>141</v>
      </c>
      <c r="Q18" s="371">
        <v>1100</v>
      </c>
    </row>
    <row r="19" spans="3:17" x14ac:dyDescent="0.25">
      <c r="C19" s="367"/>
      <c r="D19" s="366"/>
      <c r="E19" s="368"/>
      <c r="F19" s="368"/>
      <c r="G19" s="372">
        <v>0.3</v>
      </c>
      <c r="H19" s="368"/>
      <c r="I19" s="368"/>
      <c r="J19" s="374">
        <v>1000</v>
      </c>
      <c r="K19" s="368"/>
      <c r="L19" s="368"/>
      <c r="M19" s="368"/>
      <c r="N19" s="372">
        <v>0.2</v>
      </c>
      <c r="O19" s="368"/>
      <c r="P19" s="368"/>
      <c r="Q19" s="371"/>
    </row>
    <row r="20" spans="3:17" x14ac:dyDescent="0.25">
      <c r="C20" s="367"/>
      <c r="D20" s="368"/>
      <c r="E20" s="368"/>
      <c r="F20" s="368"/>
      <c r="G20" s="373"/>
      <c r="H20" s="368" t="s">
        <v>343</v>
      </c>
      <c r="I20" s="368"/>
      <c r="J20" s="368"/>
      <c r="K20" s="368"/>
      <c r="L20" s="368"/>
      <c r="M20" s="368"/>
      <c r="N20" s="368"/>
      <c r="O20" s="368"/>
      <c r="P20" s="368"/>
      <c r="Q20" s="371"/>
    </row>
    <row r="21" spans="3:17" x14ac:dyDescent="0.25">
      <c r="C21" s="367"/>
      <c r="D21" s="368"/>
      <c r="E21" s="368"/>
      <c r="F21" s="368"/>
      <c r="G21" s="373"/>
      <c r="H21" s="368"/>
      <c r="I21" s="368"/>
      <c r="J21" s="368"/>
      <c r="K21" s="368"/>
      <c r="L21" s="368"/>
      <c r="M21" s="368" t="s">
        <v>143</v>
      </c>
      <c r="N21" s="368"/>
      <c r="O21" s="368"/>
      <c r="P21" s="368">
        <v>1220</v>
      </c>
      <c r="Q21" s="371"/>
    </row>
    <row r="22" spans="3:17" x14ac:dyDescent="0.25">
      <c r="C22" s="367"/>
      <c r="D22" s="368"/>
      <c r="E22" s="368"/>
      <c r="F22" s="368"/>
      <c r="G22" s="373"/>
      <c r="H22" s="368"/>
      <c r="I22" s="368"/>
      <c r="J22" s="368"/>
      <c r="K22" s="368"/>
      <c r="L22" s="368"/>
      <c r="M22" s="368"/>
      <c r="N22" s="368"/>
      <c r="O22" s="368"/>
      <c r="P22" s="368"/>
      <c r="Q22" s="371"/>
    </row>
    <row r="23" spans="3:17" x14ac:dyDescent="0.25">
      <c r="C23" s="367"/>
      <c r="D23" s="368"/>
      <c r="E23" s="368"/>
      <c r="F23" s="368"/>
      <c r="G23" s="373"/>
      <c r="H23" s="368"/>
      <c r="I23" s="368"/>
      <c r="J23" s="368"/>
      <c r="K23" s="368"/>
      <c r="L23" s="368"/>
      <c r="M23" s="368"/>
      <c r="N23" s="368"/>
      <c r="O23" s="368"/>
      <c r="P23" s="368"/>
      <c r="Q23" s="371"/>
    </row>
    <row r="24" spans="3:17" x14ac:dyDescent="0.25">
      <c r="C24" s="367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71"/>
    </row>
    <row r="25" spans="3:17" x14ac:dyDescent="0.25">
      <c r="C25" s="367"/>
      <c r="D25" s="368"/>
      <c r="E25" s="368"/>
      <c r="F25" s="368"/>
      <c r="G25" s="368"/>
      <c r="H25" s="368"/>
      <c r="I25" s="372">
        <v>0.4</v>
      </c>
      <c r="J25" s="368" t="s">
        <v>141</v>
      </c>
      <c r="K25" s="368"/>
      <c r="L25" s="368"/>
      <c r="M25" s="368"/>
      <c r="N25" s="368"/>
      <c r="O25" s="368"/>
      <c r="P25" s="368"/>
      <c r="Q25" s="371"/>
    </row>
    <row r="26" spans="3:17" x14ac:dyDescent="0.25">
      <c r="C26" s="367"/>
      <c r="D26" s="368"/>
      <c r="E26" s="368"/>
      <c r="F26" s="368"/>
      <c r="G26" s="368"/>
      <c r="H26" s="368"/>
      <c r="I26" s="368"/>
      <c r="J26" s="374">
        <v>800</v>
      </c>
      <c r="K26" s="368"/>
      <c r="L26" s="368"/>
      <c r="M26" s="368"/>
      <c r="N26" s="368"/>
      <c r="O26" s="368"/>
      <c r="P26" s="368">
        <v>900</v>
      </c>
      <c r="Q26" s="371"/>
    </row>
    <row r="27" spans="3:17" x14ac:dyDescent="0.25">
      <c r="C27" s="367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71"/>
    </row>
    <row r="28" spans="3:17" x14ac:dyDescent="0.25">
      <c r="C28" s="367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71"/>
    </row>
    <row r="29" spans="3:17" x14ac:dyDescent="0.25">
      <c r="C29" s="367"/>
      <c r="D29" s="368"/>
      <c r="E29" s="368"/>
      <c r="F29" s="374" t="s">
        <v>144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71"/>
    </row>
    <row r="30" spans="3:17" x14ac:dyDescent="0.25">
      <c r="C30" s="367"/>
      <c r="D30" s="368"/>
      <c r="E30" s="368"/>
      <c r="F30" s="375">
        <v>0</v>
      </c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71"/>
    </row>
    <row r="31" spans="3:17" x14ac:dyDescent="0.25">
      <c r="C31" s="376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8"/>
    </row>
    <row r="33" spans="3:33" x14ac:dyDescent="0.25">
      <c r="C33" s="379" t="s">
        <v>336</v>
      </c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1"/>
      <c r="T33" s="379" t="s">
        <v>336</v>
      </c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1"/>
    </row>
    <row r="34" spans="3:33" x14ac:dyDescent="0.25">
      <c r="C34" s="367"/>
      <c r="D34" s="368"/>
      <c r="E34" s="369"/>
      <c r="F34" s="365" t="s">
        <v>136</v>
      </c>
      <c r="G34" s="369"/>
      <c r="H34" s="369"/>
      <c r="I34" s="369"/>
      <c r="J34" s="365" t="s">
        <v>137</v>
      </c>
      <c r="K34" s="369"/>
      <c r="L34" s="369"/>
      <c r="M34" s="369"/>
      <c r="N34" s="369"/>
      <c r="O34" s="369"/>
      <c r="P34" s="365" t="s">
        <v>138</v>
      </c>
      <c r="Q34" s="369"/>
      <c r="R34" s="382" t="s">
        <v>27</v>
      </c>
      <c r="T34" s="367"/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71"/>
    </row>
    <row r="35" spans="3:33" x14ac:dyDescent="0.25">
      <c r="C35" s="367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71"/>
      <c r="T35" s="388"/>
      <c r="U35" s="385" t="s">
        <v>378</v>
      </c>
      <c r="V35" s="385" t="s">
        <v>24</v>
      </c>
      <c r="W35" s="373">
        <v>0.65</v>
      </c>
      <c r="X35" s="349" t="s">
        <v>36</v>
      </c>
      <c r="Y35" s="349">
        <v>1500</v>
      </c>
      <c r="Z35" s="389" t="s">
        <v>37</v>
      </c>
      <c r="AA35" s="373">
        <v>0.35</v>
      </c>
      <c r="AB35" s="374" t="s">
        <v>36</v>
      </c>
      <c r="AC35" s="368">
        <v>1300</v>
      </c>
      <c r="AD35" s="374" t="s">
        <v>24</v>
      </c>
      <c r="AE35" s="644">
        <f>+W35*Y35+AA35*AC35</f>
        <v>1430</v>
      </c>
      <c r="AF35" s="644"/>
      <c r="AG35" s="371"/>
    </row>
    <row r="36" spans="3:33" x14ac:dyDescent="0.25">
      <c r="C36" s="367"/>
      <c r="D36" s="368"/>
      <c r="E36" s="368"/>
      <c r="F36" s="368"/>
      <c r="G36" s="368"/>
      <c r="H36" s="368"/>
      <c r="I36" s="368"/>
      <c r="J36" s="368"/>
      <c r="K36" s="368"/>
      <c r="L36" s="368"/>
      <c r="M36" s="368" t="s">
        <v>140</v>
      </c>
      <c r="N36" s="372">
        <v>0.65</v>
      </c>
      <c r="O36" s="368"/>
      <c r="P36" s="383" t="s">
        <v>139</v>
      </c>
      <c r="Q36" s="383">
        <v>1500</v>
      </c>
      <c r="R36" s="371"/>
      <c r="T36" s="390" t="s">
        <v>377</v>
      </c>
      <c r="U36" s="385"/>
      <c r="V36" s="385"/>
      <c r="W36" s="385"/>
      <c r="X36" s="349"/>
      <c r="Y36" s="387"/>
      <c r="Z36" s="389"/>
      <c r="AA36" s="385"/>
      <c r="AB36" s="374"/>
      <c r="AC36" s="368"/>
      <c r="AD36" s="374"/>
      <c r="AE36" s="368"/>
      <c r="AF36" s="368"/>
      <c r="AG36" s="371"/>
    </row>
    <row r="37" spans="3:33" x14ac:dyDescent="0.25">
      <c r="C37" s="367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73"/>
      <c r="P37" s="368"/>
      <c r="Q37" s="368"/>
      <c r="R37" s="384">
        <f>+Q36*N36+Q38*N39</f>
        <v>1430</v>
      </c>
      <c r="T37" s="391" t="s">
        <v>342</v>
      </c>
      <c r="U37" s="396" t="s">
        <v>379</v>
      </c>
      <c r="V37" s="397" t="s">
        <v>24</v>
      </c>
      <c r="W37" s="238">
        <v>1300</v>
      </c>
      <c r="X37" s="349"/>
      <c r="Y37" s="385"/>
      <c r="Z37" s="349"/>
      <c r="AA37" s="385"/>
      <c r="AB37" s="374"/>
      <c r="AC37" s="368"/>
      <c r="AD37" s="374"/>
      <c r="AE37" s="368"/>
      <c r="AF37" s="368"/>
      <c r="AG37" s="371"/>
    </row>
    <row r="38" spans="3:33" x14ac:dyDescent="0.25">
      <c r="C38" s="367"/>
      <c r="D38" s="368"/>
      <c r="E38" s="368"/>
      <c r="F38" s="368"/>
      <c r="G38" s="368"/>
      <c r="H38" s="368" t="s">
        <v>342</v>
      </c>
      <c r="I38" s="372">
        <v>0.6</v>
      </c>
      <c r="J38" s="368" t="s">
        <v>139</v>
      </c>
      <c r="K38" s="366"/>
      <c r="L38" s="368"/>
      <c r="M38" s="368"/>
      <c r="N38" s="368"/>
      <c r="O38" s="368"/>
      <c r="P38" s="368" t="s">
        <v>141</v>
      </c>
      <c r="Q38" s="368">
        <v>1300</v>
      </c>
      <c r="R38" s="371"/>
      <c r="T38" s="388"/>
      <c r="U38" s="385"/>
      <c r="V38" s="385"/>
      <c r="W38" s="385"/>
      <c r="X38" s="349"/>
      <c r="Y38" s="385"/>
      <c r="Z38" s="349"/>
      <c r="AA38" s="385"/>
      <c r="AB38" s="374"/>
      <c r="AC38" s="368"/>
      <c r="AD38" s="374"/>
      <c r="AE38" s="368"/>
      <c r="AF38" s="368"/>
      <c r="AG38" s="371"/>
    </row>
    <row r="39" spans="3:33" x14ac:dyDescent="0.25">
      <c r="C39" s="367"/>
      <c r="D39" s="368"/>
      <c r="E39" s="368"/>
      <c r="F39" s="368"/>
      <c r="G39" s="372">
        <v>0.7</v>
      </c>
      <c r="H39" s="368"/>
      <c r="I39" s="373"/>
      <c r="J39" s="374">
        <v>1100</v>
      </c>
      <c r="K39" s="368"/>
      <c r="L39" s="368"/>
      <c r="M39" s="368"/>
      <c r="N39" s="372">
        <v>0.35</v>
      </c>
      <c r="O39" s="368"/>
      <c r="P39" s="368"/>
      <c r="Q39" s="368"/>
      <c r="R39" s="371"/>
      <c r="T39" s="388"/>
      <c r="U39" s="385" t="s">
        <v>380</v>
      </c>
      <c r="V39" s="385" t="s">
        <v>24</v>
      </c>
      <c r="W39" s="373">
        <v>0.8</v>
      </c>
      <c r="X39" s="349" t="s">
        <v>36</v>
      </c>
      <c r="Y39" s="349">
        <v>1250</v>
      </c>
      <c r="Z39" s="389" t="s">
        <v>37</v>
      </c>
      <c r="AA39" s="373">
        <v>0.2</v>
      </c>
      <c r="AB39" s="374" t="s">
        <v>36</v>
      </c>
      <c r="AC39" s="368">
        <v>1100</v>
      </c>
      <c r="AD39" s="374" t="s">
        <v>24</v>
      </c>
      <c r="AE39" s="644">
        <f>+W39*Y39+AA39*AC39</f>
        <v>1220</v>
      </c>
      <c r="AF39" s="644"/>
      <c r="AG39" s="371"/>
    </row>
    <row r="40" spans="3:33" x14ac:dyDescent="0.25">
      <c r="C40" s="367"/>
      <c r="D40" s="368"/>
      <c r="E40" s="368"/>
      <c r="F40" s="368" t="s">
        <v>142</v>
      </c>
      <c r="G40" s="373"/>
      <c r="H40" s="368"/>
      <c r="I40" s="373"/>
      <c r="J40" s="368"/>
      <c r="K40" s="368"/>
      <c r="L40" s="368"/>
      <c r="M40" s="368"/>
      <c r="N40" s="368"/>
      <c r="O40" s="368"/>
      <c r="P40" s="368"/>
      <c r="Q40" s="368"/>
      <c r="R40" s="371"/>
      <c r="T40" s="390" t="s">
        <v>377</v>
      </c>
      <c r="U40" s="385"/>
      <c r="V40" s="385"/>
      <c r="W40" s="385"/>
      <c r="X40" s="385"/>
      <c r="Y40" s="387"/>
      <c r="Z40" s="393"/>
      <c r="AA40" s="385"/>
      <c r="AB40" s="368"/>
      <c r="AC40" s="368"/>
      <c r="AD40" s="368"/>
      <c r="AE40" s="368"/>
      <c r="AF40" s="368"/>
      <c r="AG40" s="371"/>
    </row>
    <row r="41" spans="3:33" x14ac:dyDescent="0.25">
      <c r="C41" s="367"/>
      <c r="D41" s="368"/>
      <c r="E41" s="368"/>
      <c r="F41" s="368"/>
      <c r="G41" s="373"/>
      <c r="H41" s="368"/>
      <c r="I41" s="373"/>
      <c r="J41" s="368"/>
      <c r="K41" s="368"/>
      <c r="L41" s="368"/>
      <c r="M41" s="576" t="s">
        <v>143</v>
      </c>
      <c r="N41" s="576"/>
      <c r="O41" s="576"/>
      <c r="P41" s="576">
        <v>1300</v>
      </c>
      <c r="Q41" s="576"/>
      <c r="R41" s="371">
        <v>1300</v>
      </c>
      <c r="T41" s="394" t="s">
        <v>381</v>
      </c>
      <c r="U41" s="396" t="s">
        <v>379</v>
      </c>
      <c r="V41" s="237" t="s">
        <v>24</v>
      </c>
      <c r="W41" s="238">
        <v>1220</v>
      </c>
      <c r="X41" s="252"/>
      <c r="Y41" s="252"/>
      <c r="Z41" s="252"/>
      <c r="AA41" s="252"/>
      <c r="AB41" s="377"/>
      <c r="AC41" s="377"/>
      <c r="AD41" s="377"/>
      <c r="AE41" s="377"/>
      <c r="AF41" s="377"/>
      <c r="AG41" s="378"/>
    </row>
    <row r="42" spans="3:33" x14ac:dyDescent="0.25">
      <c r="C42" s="367"/>
      <c r="D42" s="368"/>
      <c r="E42" s="368"/>
      <c r="F42" s="368"/>
      <c r="G42" s="373"/>
      <c r="H42" s="368"/>
      <c r="I42" s="373"/>
      <c r="J42" s="368"/>
      <c r="K42" s="368"/>
      <c r="L42" s="368"/>
      <c r="M42" s="368"/>
      <c r="N42" s="368"/>
      <c r="O42" s="368"/>
      <c r="P42" s="368"/>
      <c r="Q42" s="368"/>
      <c r="R42" s="371"/>
    </row>
    <row r="43" spans="3:33" x14ac:dyDescent="0.25">
      <c r="C43" s="367"/>
      <c r="D43" s="368"/>
      <c r="E43" s="368"/>
      <c r="F43" s="375">
        <v>-2000</v>
      </c>
      <c r="G43" s="373"/>
      <c r="H43" s="368"/>
      <c r="I43" s="372">
        <v>0.4</v>
      </c>
      <c r="J43" s="368" t="s">
        <v>141</v>
      </c>
      <c r="K43" s="368"/>
      <c r="L43" s="368"/>
      <c r="M43" s="368"/>
      <c r="N43" s="368"/>
      <c r="O43" s="368"/>
      <c r="P43" s="368"/>
      <c r="Q43" s="368"/>
      <c r="R43" s="371"/>
      <c r="T43" s="379" t="s">
        <v>337</v>
      </c>
      <c r="U43" s="380"/>
      <c r="V43" s="380"/>
      <c r="W43" s="380"/>
      <c r="X43" s="380"/>
      <c r="Y43" s="380"/>
      <c r="Z43" s="380"/>
      <c r="AA43" s="380"/>
      <c r="AB43" s="380"/>
      <c r="AC43" s="380"/>
      <c r="AD43" s="380"/>
      <c r="AE43" s="381"/>
    </row>
    <row r="44" spans="3:33" x14ac:dyDescent="0.25">
      <c r="C44" s="367"/>
      <c r="D44" s="368"/>
      <c r="E44" s="368"/>
      <c r="F44" s="368"/>
      <c r="G44" s="373"/>
      <c r="H44" s="368"/>
      <c r="I44" s="368"/>
      <c r="J44" s="374">
        <v>900</v>
      </c>
      <c r="K44" s="368"/>
      <c r="L44" s="368"/>
      <c r="M44" s="368"/>
      <c r="N44" s="368"/>
      <c r="O44" s="368"/>
      <c r="P44" s="368">
        <v>1000</v>
      </c>
      <c r="Q44" s="368"/>
      <c r="R44" s="371"/>
      <c r="T44" s="367" t="s">
        <v>145</v>
      </c>
      <c r="U44" s="374" t="s">
        <v>24</v>
      </c>
      <c r="V44" s="399" t="s">
        <v>146</v>
      </c>
      <c r="W44" s="374" t="s">
        <v>37</v>
      </c>
      <c r="X44" s="400" t="s">
        <v>147</v>
      </c>
      <c r="Y44" s="399" t="s">
        <v>37</v>
      </c>
      <c r="Z44" s="400" t="s">
        <v>148</v>
      </c>
      <c r="AA44" s="368"/>
      <c r="AB44" s="368"/>
      <c r="AC44" s="368"/>
      <c r="AD44" s="368"/>
      <c r="AE44" s="371"/>
    </row>
    <row r="45" spans="3:33" ht="15.6" x14ac:dyDescent="0.25">
      <c r="C45" s="367"/>
      <c r="D45" s="368"/>
      <c r="E45" s="368"/>
      <c r="F45" s="368"/>
      <c r="G45" s="373"/>
      <c r="H45" s="368"/>
      <c r="I45" s="368"/>
      <c r="J45" s="374"/>
      <c r="K45" s="368"/>
      <c r="L45" s="368"/>
      <c r="M45" s="368"/>
      <c r="N45" s="368"/>
      <c r="O45" s="368"/>
      <c r="P45" s="368"/>
      <c r="Q45" s="368"/>
      <c r="R45" s="371"/>
      <c r="T45" s="367"/>
      <c r="U45" s="374"/>
      <c r="V45" s="368"/>
      <c r="W45" s="368"/>
      <c r="X45" s="399" t="s">
        <v>445</v>
      </c>
      <c r="Y45" s="374"/>
      <c r="Z45" s="399" t="s">
        <v>446</v>
      </c>
      <c r="AA45" s="368"/>
      <c r="AB45" s="368"/>
      <c r="AC45" s="368"/>
      <c r="AD45" s="368"/>
      <c r="AE45" s="371"/>
    </row>
    <row r="46" spans="3:33" x14ac:dyDescent="0.25">
      <c r="C46" s="367"/>
      <c r="D46" s="368"/>
      <c r="E46" s="368"/>
      <c r="F46" s="368"/>
      <c r="G46" s="373"/>
      <c r="H46" s="368"/>
      <c r="I46" s="368"/>
      <c r="J46" s="368"/>
      <c r="K46" s="368"/>
      <c r="L46" s="368"/>
      <c r="M46" s="368" t="s">
        <v>140</v>
      </c>
      <c r="N46" s="372">
        <v>0.8</v>
      </c>
      <c r="O46" s="368"/>
      <c r="P46" s="368" t="s">
        <v>139</v>
      </c>
      <c r="Q46" s="368">
        <v>1250</v>
      </c>
      <c r="R46" s="371"/>
      <c r="T46" s="367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71"/>
    </row>
    <row r="47" spans="3:33" x14ac:dyDescent="0.25">
      <c r="C47" s="367"/>
      <c r="D47" s="368"/>
      <c r="E47" s="368"/>
      <c r="F47" s="368"/>
      <c r="G47" s="373"/>
      <c r="H47" s="368"/>
      <c r="I47" s="368"/>
      <c r="J47" s="368"/>
      <c r="K47" s="368"/>
      <c r="L47" s="368"/>
      <c r="M47" s="368"/>
      <c r="N47" s="368"/>
      <c r="O47" s="373"/>
      <c r="P47" s="368"/>
      <c r="Q47" s="368"/>
      <c r="R47" s="384">
        <f>+Q46*N46+N49*Q48</f>
        <v>1220</v>
      </c>
      <c r="T47" s="401" t="s">
        <v>147</v>
      </c>
      <c r="U47" s="374" t="s">
        <v>24</v>
      </c>
      <c r="V47" s="399" t="s">
        <v>75</v>
      </c>
      <c r="W47" s="374" t="s">
        <v>36</v>
      </c>
      <c r="X47" s="399" t="s">
        <v>344</v>
      </c>
      <c r="Y47" s="399" t="s">
        <v>149</v>
      </c>
      <c r="Z47" s="374" t="s">
        <v>37</v>
      </c>
      <c r="AA47" s="399" t="s">
        <v>345</v>
      </c>
      <c r="AB47" s="644" t="s">
        <v>150</v>
      </c>
      <c r="AC47" s="644"/>
      <c r="AD47" s="399"/>
      <c r="AE47" s="371"/>
    </row>
    <row r="48" spans="3:33" x14ac:dyDescent="0.25">
      <c r="C48" s="367"/>
      <c r="D48" s="368"/>
      <c r="E48" s="368"/>
      <c r="F48" s="368"/>
      <c r="G48" s="373"/>
      <c r="H48" s="368"/>
      <c r="I48" s="372">
        <v>0.6</v>
      </c>
      <c r="J48" s="368" t="s">
        <v>139</v>
      </c>
      <c r="K48" s="366"/>
      <c r="L48" s="368"/>
      <c r="M48" s="368"/>
      <c r="N48" s="368"/>
      <c r="O48" s="368"/>
      <c r="P48" s="368" t="s">
        <v>141</v>
      </c>
      <c r="Q48" s="368">
        <v>1100</v>
      </c>
      <c r="R48" s="371"/>
      <c r="T48" s="367"/>
      <c r="U48" s="368"/>
      <c r="V48" s="399" t="s">
        <v>37</v>
      </c>
      <c r="W48" s="399"/>
      <c r="X48" s="399"/>
      <c r="Y48" s="399"/>
      <c r="Z48" s="399"/>
      <c r="AA48" s="399"/>
      <c r="AB48" s="399"/>
      <c r="AC48" s="399"/>
      <c r="AD48" s="368"/>
      <c r="AE48" s="371"/>
    </row>
    <row r="49" spans="3:41" x14ac:dyDescent="0.25">
      <c r="C49" s="367"/>
      <c r="D49" s="366"/>
      <c r="E49" s="368"/>
      <c r="F49" s="368"/>
      <c r="G49" s="372">
        <v>0.3</v>
      </c>
      <c r="H49" s="368"/>
      <c r="I49" s="368"/>
      <c r="J49" s="374">
        <v>1000</v>
      </c>
      <c r="K49" s="368"/>
      <c r="L49" s="368"/>
      <c r="M49" s="368"/>
      <c r="N49" s="372">
        <v>0.2</v>
      </c>
      <c r="O49" s="368"/>
      <c r="P49" s="368"/>
      <c r="Q49" s="368"/>
      <c r="R49" s="371"/>
      <c r="T49" s="367"/>
      <c r="U49" s="368"/>
      <c r="V49" s="399" t="s">
        <v>151</v>
      </c>
      <c r="W49" s="399" t="s">
        <v>36</v>
      </c>
      <c r="X49" s="399" t="s">
        <v>344</v>
      </c>
      <c r="Y49" s="399" t="s">
        <v>152</v>
      </c>
      <c r="Z49" s="399" t="s">
        <v>37</v>
      </c>
      <c r="AA49" s="399" t="s">
        <v>345</v>
      </c>
      <c r="AB49" s="399" t="s">
        <v>442</v>
      </c>
      <c r="AC49" s="399"/>
      <c r="AD49" s="385">
        <f>+G39*(I38*J39+I43*J44)+G49*(I48*J49+I55*J56)</f>
        <v>990</v>
      </c>
      <c r="AE49" s="371"/>
    </row>
    <row r="50" spans="3:41" x14ac:dyDescent="0.25">
      <c r="C50" s="367"/>
      <c r="D50" s="368"/>
      <c r="E50" s="368"/>
      <c r="F50" s="368"/>
      <c r="G50" s="373"/>
      <c r="H50" s="368" t="s">
        <v>343</v>
      </c>
      <c r="I50" s="368"/>
      <c r="J50" s="368"/>
      <c r="K50" s="368"/>
      <c r="L50" s="368"/>
      <c r="M50" s="368"/>
      <c r="N50" s="368"/>
      <c r="O50" s="368"/>
      <c r="P50" s="368"/>
      <c r="Q50" s="368"/>
      <c r="R50" s="371"/>
      <c r="T50" s="367"/>
      <c r="U50" s="368"/>
      <c r="V50" s="399"/>
      <c r="W50" s="399"/>
      <c r="X50" s="399"/>
      <c r="Y50" s="399"/>
      <c r="Z50" s="399"/>
      <c r="AA50" s="399"/>
      <c r="AB50" s="399"/>
      <c r="AC50" s="399"/>
      <c r="AD50" s="385"/>
      <c r="AE50" s="371"/>
    </row>
    <row r="51" spans="3:41" x14ac:dyDescent="0.25">
      <c r="C51" s="367"/>
      <c r="D51" s="368"/>
      <c r="E51" s="368"/>
      <c r="F51" s="368"/>
      <c r="G51" s="373"/>
      <c r="H51" s="368"/>
      <c r="I51" s="368"/>
      <c r="J51" s="368"/>
      <c r="K51" s="368"/>
      <c r="L51" s="368"/>
      <c r="M51" s="569" t="s">
        <v>143</v>
      </c>
      <c r="N51" s="569"/>
      <c r="O51" s="569"/>
      <c r="P51" s="569">
        <v>1220</v>
      </c>
      <c r="Q51" s="368"/>
      <c r="R51" s="371">
        <v>1220</v>
      </c>
      <c r="T51" s="401" t="s">
        <v>148</v>
      </c>
      <c r="U51" s="374" t="s">
        <v>24</v>
      </c>
      <c r="V51" s="399" t="s">
        <v>75</v>
      </c>
      <c r="W51" s="399" t="s">
        <v>36</v>
      </c>
      <c r="X51" s="399" t="s">
        <v>344</v>
      </c>
      <c r="Y51" s="399" t="s">
        <v>153</v>
      </c>
      <c r="Z51" s="399" t="s">
        <v>37</v>
      </c>
      <c r="AA51" s="399" t="s">
        <v>345</v>
      </c>
      <c r="AB51" s="399" t="s">
        <v>154</v>
      </c>
      <c r="AC51" s="399"/>
      <c r="AD51" s="368"/>
      <c r="AE51" s="371"/>
    </row>
    <row r="52" spans="3:41" x14ac:dyDescent="0.25">
      <c r="C52" s="367"/>
      <c r="D52" s="368"/>
      <c r="E52" s="368"/>
      <c r="F52" s="368"/>
      <c r="G52" s="373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71"/>
      <c r="T52" s="401"/>
      <c r="U52" s="374"/>
      <c r="V52" s="399" t="s">
        <v>37</v>
      </c>
      <c r="W52" s="399"/>
      <c r="X52" s="399"/>
      <c r="Y52" s="399"/>
      <c r="Z52" s="399"/>
      <c r="AA52" s="399"/>
      <c r="AB52" s="399"/>
      <c r="AC52" s="399"/>
      <c r="AD52" s="399"/>
      <c r="AE52" s="371"/>
    </row>
    <row r="53" spans="3:41" x14ac:dyDescent="0.25">
      <c r="C53" s="367"/>
      <c r="D53" s="368"/>
      <c r="E53" s="368"/>
      <c r="F53" s="368"/>
      <c r="G53" s="373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71"/>
      <c r="T53" s="367"/>
      <c r="U53" s="368"/>
      <c r="V53" s="399" t="s">
        <v>151</v>
      </c>
      <c r="W53" s="399" t="s">
        <v>36</v>
      </c>
      <c r="X53" s="399" t="s">
        <v>344</v>
      </c>
      <c r="Y53" s="399" t="s">
        <v>155</v>
      </c>
      <c r="Z53" s="399" t="s">
        <v>37</v>
      </c>
      <c r="AA53" s="399" t="s">
        <v>345</v>
      </c>
      <c r="AB53" s="399" t="s">
        <v>443</v>
      </c>
      <c r="AC53" s="399"/>
      <c r="AD53" s="385">
        <f>+G39*(I38*R37+I43*P44)+G49*(I48*R47+I55*P56)</f>
        <v>1208.1999999999998</v>
      </c>
      <c r="AE53" s="371"/>
    </row>
    <row r="54" spans="3:41" x14ac:dyDescent="0.25">
      <c r="C54" s="367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71"/>
      <c r="T54" s="367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71"/>
    </row>
    <row r="55" spans="3:41" x14ac:dyDescent="0.25">
      <c r="C55" s="367"/>
      <c r="D55" s="368"/>
      <c r="E55" s="368"/>
      <c r="F55" s="368"/>
      <c r="G55" s="368"/>
      <c r="H55" s="368"/>
      <c r="I55" s="372">
        <v>0.4</v>
      </c>
      <c r="J55" s="368" t="s">
        <v>141</v>
      </c>
      <c r="K55" s="368"/>
      <c r="L55" s="368"/>
      <c r="M55" s="368"/>
      <c r="N55" s="368"/>
      <c r="O55" s="368"/>
      <c r="P55" s="368"/>
      <c r="Q55" s="368"/>
      <c r="R55" s="371"/>
      <c r="T55" s="367" t="s">
        <v>145</v>
      </c>
      <c r="U55" s="374" t="s">
        <v>24</v>
      </c>
      <c r="V55" s="399" t="str">
        <f>+V44</f>
        <v>(2,000)</v>
      </c>
      <c r="W55" s="374" t="s">
        <v>37</v>
      </c>
      <c r="X55" s="354">
        <f>+AD49</f>
        <v>990</v>
      </c>
      <c r="Y55" s="399" t="s">
        <v>37</v>
      </c>
      <c r="Z55" s="354">
        <f>+AD53</f>
        <v>1208.1999999999998</v>
      </c>
      <c r="AA55" s="368"/>
      <c r="AB55" s="368"/>
      <c r="AC55" s="368"/>
      <c r="AD55" s="368"/>
      <c r="AE55" s="371"/>
    </row>
    <row r="56" spans="3:41" ht="15.6" x14ac:dyDescent="0.25">
      <c r="C56" s="367"/>
      <c r="D56" s="368"/>
      <c r="E56" s="368"/>
      <c r="F56" s="368"/>
      <c r="G56" s="368"/>
      <c r="H56" s="368"/>
      <c r="I56" s="368"/>
      <c r="J56" s="374">
        <v>800</v>
      </c>
      <c r="K56" s="368"/>
      <c r="L56" s="368"/>
      <c r="M56" s="368"/>
      <c r="N56" s="368"/>
      <c r="O56" s="368"/>
      <c r="P56" s="368">
        <v>900</v>
      </c>
      <c r="Q56" s="368"/>
      <c r="R56" s="371"/>
      <c r="T56" s="367"/>
      <c r="U56" s="374"/>
      <c r="V56" s="368"/>
      <c r="W56" s="368"/>
      <c r="X56" s="399" t="s">
        <v>445</v>
      </c>
      <c r="Y56" s="374"/>
      <c r="Z56" s="399" t="s">
        <v>446</v>
      </c>
      <c r="AA56" s="368"/>
      <c r="AB56" s="368"/>
      <c r="AC56" s="368"/>
      <c r="AD56" s="368"/>
      <c r="AE56" s="371"/>
    </row>
    <row r="57" spans="3:41" x14ac:dyDescent="0.25">
      <c r="C57" s="367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71"/>
      <c r="T57" s="367"/>
      <c r="U57" s="368"/>
      <c r="V57" s="368"/>
      <c r="W57" s="368"/>
      <c r="X57" s="368"/>
      <c r="Y57" s="368"/>
      <c r="Z57" s="368"/>
      <c r="AA57" s="368"/>
      <c r="AB57" s="368"/>
      <c r="AC57" s="368"/>
      <c r="AD57" s="368"/>
      <c r="AE57" s="371"/>
    </row>
    <row r="58" spans="3:41" x14ac:dyDescent="0.25">
      <c r="C58" s="367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71"/>
      <c r="T58" s="402" t="s">
        <v>145</v>
      </c>
      <c r="U58" s="403" t="s">
        <v>24</v>
      </c>
      <c r="V58" s="238">
        <f>V55+X55/(1+5%)^1+Z55/(1+5%)^2</f>
        <v>38.730158730158337</v>
      </c>
      <c r="W58" s="377"/>
      <c r="X58" s="377"/>
      <c r="Y58" s="377"/>
      <c r="Z58" s="377"/>
      <c r="AA58" s="377"/>
      <c r="AB58" s="377"/>
      <c r="AC58" s="377"/>
      <c r="AD58" s="377"/>
      <c r="AE58" s="378"/>
    </row>
    <row r="59" spans="3:41" x14ac:dyDescent="0.25">
      <c r="C59" s="367"/>
      <c r="D59" s="368"/>
      <c r="E59" s="368"/>
      <c r="F59" s="374" t="s">
        <v>144</v>
      </c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71"/>
    </row>
    <row r="60" spans="3:41" x14ac:dyDescent="0.25">
      <c r="C60" s="376"/>
      <c r="D60" s="377"/>
      <c r="E60" s="377"/>
      <c r="F60" s="386">
        <v>0</v>
      </c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8"/>
    </row>
    <row r="61" spans="3:41" ht="3.6" customHeight="1" x14ac:dyDescent="0.25">
      <c r="W61" s="643"/>
      <c r="X61" s="643"/>
      <c r="Y61" s="643"/>
      <c r="Z61" s="643"/>
      <c r="AA61" s="643"/>
      <c r="AB61" s="643"/>
      <c r="AC61" s="643"/>
      <c r="AD61" s="643"/>
      <c r="AE61" s="643"/>
      <c r="AF61" s="643"/>
      <c r="AG61" s="643"/>
      <c r="AH61" s="643"/>
      <c r="AI61" s="643"/>
      <c r="AJ61" s="643"/>
      <c r="AK61" s="643"/>
      <c r="AL61" s="643"/>
      <c r="AM61" s="643"/>
      <c r="AN61" s="643"/>
      <c r="AO61" s="643"/>
    </row>
    <row r="62" spans="3:41" ht="3.6" customHeight="1" x14ac:dyDescent="0.25"/>
    <row r="63" spans="3:41" ht="3.6" customHeight="1" x14ac:dyDescent="0.25"/>
    <row r="66" spans="22:41" x14ac:dyDescent="0.25">
      <c r="AH66" s="360"/>
      <c r="AI66" s="362"/>
      <c r="AJ66" s="362"/>
      <c r="AK66" s="360"/>
      <c r="AL66" s="362"/>
      <c r="AM66" s="360"/>
      <c r="AN66" s="360"/>
      <c r="AO66" s="222"/>
    </row>
    <row r="67" spans="22:41" x14ac:dyDescent="0.25">
      <c r="AN67" s="360"/>
      <c r="AO67" s="222"/>
    </row>
    <row r="68" spans="22:41" x14ac:dyDescent="0.25">
      <c r="AN68" s="360"/>
      <c r="AO68" s="222"/>
    </row>
    <row r="69" spans="22:41" x14ac:dyDescent="0.25">
      <c r="AN69" s="360"/>
      <c r="AO69" s="222"/>
    </row>
    <row r="71" spans="22:41" x14ac:dyDescent="0.25">
      <c r="AH71" s="360"/>
      <c r="AI71" s="362"/>
      <c r="AJ71" s="362"/>
      <c r="AK71" s="360"/>
      <c r="AL71" s="362"/>
      <c r="AM71" s="360"/>
      <c r="AO71" s="222"/>
    </row>
    <row r="74" spans="22:41" x14ac:dyDescent="0.25">
      <c r="V74" s="361"/>
    </row>
  </sheetData>
  <sheetProtection algorithmName="SHA-512" hashValue="4s1buHHhJ1tDNjzGFm1pB4Xv8E/vHmDHtQ1Ud9Bud7tpcvvBiVJty23I3ionl5W52qUwmlwYVcn46qIG/AJ+uQ==" saltValue="4i74nUaxn1f0kZk3pUPJsw==" spinCount="100000" sheet="1" objects="1" scenarios="1"/>
  <mergeCells count="6">
    <mergeCell ref="C1:R1"/>
    <mergeCell ref="D3:Q3"/>
    <mergeCell ref="W61:AO61"/>
    <mergeCell ref="AE35:AF35"/>
    <mergeCell ref="AE39:AF39"/>
    <mergeCell ref="AB47:AC47"/>
  </mergeCells>
  <pageMargins left="0.70866141732283472" right="0.70866141732283472" top="0.74803149606299213" bottom="0.74803149606299213" header="0.31496062992125984" footer="0.31496062992125984"/>
  <pageSetup orientation="landscape" horizontalDpi="360" verticalDpi="360" r:id="rId1"/>
  <ignoredErrors>
    <ignoredError sqref="V47 V49 V51 V53 Y47 Y49 Y51 Y53 V44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K43"/>
  <sheetViews>
    <sheetView topLeftCell="A13" zoomScaleNormal="100" workbookViewId="0">
      <selection activeCell="E43" sqref="E43"/>
    </sheetView>
  </sheetViews>
  <sheetFormatPr baseColWidth="10" defaultRowHeight="13.8" x14ac:dyDescent="0.25"/>
  <cols>
    <col min="1" max="1" width="16.6640625" style="46" customWidth="1"/>
    <col min="2" max="2" width="7.33203125" style="46" customWidth="1"/>
    <col min="3" max="3" width="17" style="46" customWidth="1"/>
    <col min="4" max="4" width="11.44140625" style="46"/>
    <col min="5" max="5" width="16.5546875" style="46" customWidth="1"/>
    <col min="6" max="6" width="1.6640625" style="46" customWidth="1"/>
    <col min="7" max="7" width="17.5546875" style="46" customWidth="1"/>
    <col min="8" max="8" width="10" style="46" customWidth="1"/>
    <col min="9" max="9" width="17" style="46" customWidth="1"/>
    <col min="10" max="10" width="10.109375" style="46" bestFit="1" customWidth="1"/>
    <col min="11" max="11" width="12" style="46" customWidth="1"/>
    <col min="12" max="258" width="11.44140625" style="46"/>
    <col min="259" max="259" width="16.44140625" style="46" customWidth="1"/>
    <col min="260" max="260" width="11.44140625" style="46"/>
    <col min="261" max="261" width="15.6640625" style="46" customWidth="1"/>
    <col min="262" max="262" width="1.6640625" style="46" customWidth="1"/>
    <col min="263" max="263" width="17.5546875" style="46" customWidth="1"/>
    <col min="264" max="264" width="11.44140625" style="46"/>
    <col min="265" max="265" width="16.109375" style="46" customWidth="1"/>
    <col min="266" max="514" width="11.44140625" style="46"/>
    <col min="515" max="515" width="16.44140625" style="46" customWidth="1"/>
    <col min="516" max="516" width="11.44140625" style="46"/>
    <col min="517" max="517" width="15.6640625" style="46" customWidth="1"/>
    <col min="518" max="518" width="1.6640625" style="46" customWidth="1"/>
    <col min="519" max="519" width="17.5546875" style="46" customWidth="1"/>
    <col min="520" max="520" width="11.44140625" style="46"/>
    <col min="521" max="521" width="16.109375" style="46" customWidth="1"/>
    <col min="522" max="770" width="11.44140625" style="46"/>
    <col min="771" max="771" width="16.44140625" style="46" customWidth="1"/>
    <col min="772" max="772" width="11.44140625" style="46"/>
    <col min="773" max="773" width="15.6640625" style="46" customWidth="1"/>
    <col min="774" max="774" width="1.6640625" style="46" customWidth="1"/>
    <col min="775" max="775" width="17.5546875" style="46" customWidth="1"/>
    <col min="776" max="776" width="11.44140625" style="46"/>
    <col min="777" max="777" width="16.109375" style="46" customWidth="1"/>
    <col min="778" max="1026" width="11.44140625" style="46"/>
    <col min="1027" max="1027" width="16.44140625" style="46" customWidth="1"/>
    <col min="1028" max="1028" width="11.44140625" style="46"/>
    <col min="1029" max="1029" width="15.6640625" style="46" customWidth="1"/>
    <col min="1030" max="1030" width="1.6640625" style="46" customWidth="1"/>
    <col min="1031" max="1031" width="17.5546875" style="46" customWidth="1"/>
    <col min="1032" max="1032" width="11.44140625" style="46"/>
    <col min="1033" max="1033" width="16.109375" style="46" customWidth="1"/>
    <col min="1034" max="1282" width="11.44140625" style="46"/>
    <col min="1283" max="1283" width="16.44140625" style="46" customWidth="1"/>
    <col min="1284" max="1284" width="11.44140625" style="46"/>
    <col min="1285" max="1285" width="15.6640625" style="46" customWidth="1"/>
    <col min="1286" max="1286" width="1.6640625" style="46" customWidth="1"/>
    <col min="1287" max="1287" width="17.5546875" style="46" customWidth="1"/>
    <col min="1288" max="1288" width="11.44140625" style="46"/>
    <col min="1289" max="1289" width="16.109375" style="46" customWidth="1"/>
    <col min="1290" max="1538" width="11.44140625" style="46"/>
    <col min="1539" max="1539" width="16.44140625" style="46" customWidth="1"/>
    <col min="1540" max="1540" width="11.44140625" style="46"/>
    <col min="1541" max="1541" width="15.6640625" style="46" customWidth="1"/>
    <col min="1542" max="1542" width="1.6640625" style="46" customWidth="1"/>
    <col min="1543" max="1543" width="17.5546875" style="46" customWidth="1"/>
    <col min="1544" max="1544" width="11.44140625" style="46"/>
    <col min="1545" max="1545" width="16.109375" style="46" customWidth="1"/>
    <col min="1546" max="1794" width="11.44140625" style="46"/>
    <col min="1795" max="1795" width="16.44140625" style="46" customWidth="1"/>
    <col min="1796" max="1796" width="11.44140625" style="46"/>
    <col min="1797" max="1797" width="15.6640625" style="46" customWidth="1"/>
    <col min="1798" max="1798" width="1.6640625" style="46" customWidth="1"/>
    <col min="1799" max="1799" width="17.5546875" style="46" customWidth="1"/>
    <col min="1800" max="1800" width="11.44140625" style="46"/>
    <col min="1801" max="1801" width="16.109375" style="46" customWidth="1"/>
    <col min="1802" max="2050" width="11.44140625" style="46"/>
    <col min="2051" max="2051" width="16.44140625" style="46" customWidth="1"/>
    <col min="2052" max="2052" width="11.44140625" style="46"/>
    <col min="2053" max="2053" width="15.6640625" style="46" customWidth="1"/>
    <col min="2054" max="2054" width="1.6640625" style="46" customWidth="1"/>
    <col min="2055" max="2055" width="17.5546875" style="46" customWidth="1"/>
    <col min="2056" max="2056" width="11.44140625" style="46"/>
    <col min="2057" max="2057" width="16.109375" style="46" customWidth="1"/>
    <col min="2058" max="2306" width="11.44140625" style="46"/>
    <col min="2307" max="2307" width="16.44140625" style="46" customWidth="1"/>
    <col min="2308" max="2308" width="11.44140625" style="46"/>
    <col min="2309" max="2309" width="15.6640625" style="46" customWidth="1"/>
    <col min="2310" max="2310" width="1.6640625" style="46" customWidth="1"/>
    <col min="2311" max="2311" width="17.5546875" style="46" customWidth="1"/>
    <col min="2312" max="2312" width="11.44140625" style="46"/>
    <col min="2313" max="2313" width="16.109375" style="46" customWidth="1"/>
    <col min="2314" max="2562" width="11.44140625" style="46"/>
    <col min="2563" max="2563" width="16.44140625" style="46" customWidth="1"/>
    <col min="2564" max="2564" width="11.44140625" style="46"/>
    <col min="2565" max="2565" width="15.6640625" style="46" customWidth="1"/>
    <col min="2566" max="2566" width="1.6640625" style="46" customWidth="1"/>
    <col min="2567" max="2567" width="17.5546875" style="46" customWidth="1"/>
    <col min="2568" max="2568" width="11.44140625" style="46"/>
    <col min="2569" max="2569" width="16.109375" style="46" customWidth="1"/>
    <col min="2570" max="2818" width="11.44140625" style="46"/>
    <col min="2819" max="2819" width="16.44140625" style="46" customWidth="1"/>
    <col min="2820" max="2820" width="11.44140625" style="46"/>
    <col min="2821" max="2821" width="15.6640625" style="46" customWidth="1"/>
    <col min="2822" max="2822" width="1.6640625" style="46" customWidth="1"/>
    <col min="2823" max="2823" width="17.5546875" style="46" customWidth="1"/>
    <col min="2824" max="2824" width="11.44140625" style="46"/>
    <col min="2825" max="2825" width="16.109375" style="46" customWidth="1"/>
    <col min="2826" max="3074" width="11.44140625" style="46"/>
    <col min="3075" max="3075" width="16.44140625" style="46" customWidth="1"/>
    <col min="3076" max="3076" width="11.44140625" style="46"/>
    <col min="3077" max="3077" width="15.6640625" style="46" customWidth="1"/>
    <col min="3078" max="3078" width="1.6640625" style="46" customWidth="1"/>
    <col min="3079" max="3079" width="17.5546875" style="46" customWidth="1"/>
    <col min="3080" max="3080" width="11.44140625" style="46"/>
    <col min="3081" max="3081" width="16.109375" style="46" customWidth="1"/>
    <col min="3082" max="3330" width="11.44140625" style="46"/>
    <col min="3331" max="3331" width="16.44140625" style="46" customWidth="1"/>
    <col min="3332" max="3332" width="11.44140625" style="46"/>
    <col min="3333" max="3333" width="15.6640625" style="46" customWidth="1"/>
    <col min="3334" max="3334" width="1.6640625" style="46" customWidth="1"/>
    <col min="3335" max="3335" width="17.5546875" style="46" customWidth="1"/>
    <col min="3336" max="3336" width="11.44140625" style="46"/>
    <col min="3337" max="3337" width="16.109375" style="46" customWidth="1"/>
    <col min="3338" max="3586" width="11.44140625" style="46"/>
    <col min="3587" max="3587" width="16.44140625" style="46" customWidth="1"/>
    <col min="3588" max="3588" width="11.44140625" style="46"/>
    <col min="3589" max="3589" width="15.6640625" style="46" customWidth="1"/>
    <col min="3590" max="3590" width="1.6640625" style="46" customWidth="1"/>
    <col min="3591" max="3591" width="17.5546875" style="46" customWidth="1"/>
    <col min="3592" max="3592" width="11.44140625" style="46"/>
    <col min="3593" max="3593" width="16.109375" style="46" customWidth="1"/>
    <col min="3594" max="3842" width="11.44140625" style="46"/>
    <col min="3843" max="3843" width="16.44140625" style="46" customWidth="1"/>
    <col min="3844" max="3844" width="11.44140625" style="46"/>
    <col min="3845" max="3845" width="15.6640625" style="46" customWidth="1"/>
    <col min="3846" max="3846" width="1.6640625" style="46" customWidth="1"/>
    <col min="3847" max="3847" width="17.5546875" style="46" customWidth="1"/>
    <col min="3848" max="3848" width="11.44140625" style="46"/>
    <col min="3849" max="3849" width="16.109375" style="46" customWidth="1"/>
    <col min="3850" max="4098" width="11.44140625" style="46"/>
    <col min="4099" max="4099" width="16.44140625" style="46" customWidth="1"/>
    <col min="4100" max="4100" width="11.44140625" style="46"/>
    <col min="4101" max="4101" width="15.6640625" style="46" customWidth="1"/>
    <col min="4102" max="4102" width="1.6640625" style="46" customWidth="1"/>
    <col min="4103" max="4103" width="17.5546875" style="46" customWidth="1"/>
    <col min="4104" max="4104" width="11.44140625" style="46"/>
    <col min="4105" max="4105" width="16.109375" style="46" customWidth="1"/>
    <col min="4106" max="4354" width="11.44140625" style="46"/>
    <col min="4355" max="4355" width="16.44140625" style="46" customWidth="1"/>
    <col min="4356" max="4356" width="11.44140625" style="46"/>
    <col min="4357" max="4357" width="15.6640625" style="46" customWidth="1"/>
    <col min="4358" max="4358" width="1.6640625" style="46" customWidth="1"/>
    <col min="4359" max="4359" width="17.5546875" style="46" customWidth="1"/>
    <col min="4360" max="4360" width="11.44140625" style="46"/>
    <col min="4361" max="4361" width="16.109375" style="46" customWidth="1"/>
    <col min="4362" max="4610" width="11.44140625" style="46"/>
    <col min="4611" max="4611" width="16.44140625" style="46" customWidth="1"/>
    <col min="4612" max="4612" width="11.44140625" style="46"/>
    <col min="4613" max="4613" width="15.6640625" style="46" customWidth="1"/>
    <col min="4614" max="4614" width="1.6640625" style="46" customWidth="1"/>
    <col min="4615" max="4615" width="17.5546875" style="46" customWidth="1"/>
    <col min="4616" max="4616" width="11.44140625" style="46"/>
    <col min="4617" max="4617" width="16.109375" style="46" customWidth="1"/>
    <col min="4618" max="4866" width="11.44140625" style="46"/>
    <col min="4867" max="4867" width="16.44140625" style="46" customWidth="1"/>
    <col min="4868" max="4868" width="11.44140625" style="46"/>
    <col min="4869" max="4869" width="15.6640625" style="46" customWidth="1"/>
    <col min="4870" max="4870" width="1.6640625" style="46" customWidth="1"/>
    <col min="4871" max="4871" width="17.5546875" style="46" customWidth="1"/>
    <col min="4872" max="4872" width="11.44140625" style="46"/>
    <col min="4873" max="4873" width="16.109375" style="46" customWidth="1"/>
    <col min="4874" max="5122" width="11.44140625" style="46"/>
    <col min="5123" max="5123" width="16.44140625" style="46" customWidth="1"/>
    <col min="5124" max="5124" width="11.44140625" style="46"/>
    <col min="5125" max="5125" width="15.6640625" style="46" customWidth="1"/>
    <col min="5126" max="5126" width="1.6640625" style="46" customWidth="1"/>
    <col min="5127" max="5127" width="17.5546875" style="46" customWidth="1"/>
    <col min="5128" max="5128" width="11.44140625" style="46"/>
    <col min="5129" max="5129" width="16.109375" style="46" customWidth="1"/>
    <col min="5130" max="5378" width="11.44140625" style="46"/>
    <col min="5379" max="5379" width="16.44140625" style="46" customWidth="1"/>
    <col min="5380" max="5380" width="11.44140625" style="46"/>
    <col min="5381" max="5381" width="15.6640625" style="46" customWidth="1"/>
    <col min="5382" max="5382" width="1.6640625" style="46" customWidth="1"/>
    <col min="5383" max="5383" width="17.5546875" style="46" customWidth="1"/>
    <col min="5384" max="5384" width="11.44140625" style="46"/>
    <col min="5385" max="5385" width="16.109375" style="46" customWidth="1"/>
    <col min="5386" max="5634" width="11.44140625" style="46"/>
    <col min="5635" max="5635" width="16.44140625" style="46" customWidth="1"/>
    <col min="5636" max="5636" width="11.44140625" style="46"/>
    <col min="5637" max="5637" width="15.6640625" style="46" customWidth="1"/>
    <col min="5638" max="5638" width="1.6640625" style="46" customWidth="1"/>
    <col min="5639" max="5639" width="17.5546875" style="46" customWidth="1"/>
    <col min="5640" max="5640" width="11.44140625" style="46"/>
    <col min="5641" max="5641" width="16.109375" style="46" customWidth="1"/>
    <col min="5642" max="5890" width="11.44140625" style="46"/>
    <col min="5891" max="5891" width="16.44140625" style="46" customWidth="1"/>
    <col min="5892" max="5892" width="11.44140625" style="46"/>
    <col min="5893" max="5893" width="15.6640625" style="46" customWidth="1"/>
    <col min="5894" max="5894" width="1.6640625" style="46" customWidth="1"/>
    <col min="5895" max="5895" width="17.5546875" style="46" customWidth="1"/>
    <col min="5896" max="5896" width="11.44140625" style="46"/>
    <col min="5897" max="5897" width="16.109375" style="46" customWidth="1"/>
    <col min="5898" max="6146" width="11.44140625" style="46"/>
    <col min="6147" max="6147" width="16.44140625" style="46" customWidth="1"/>
    <col min="6148" max="6148" width="11.44140625" style="46"/>
    <col min="6149" max="6149" width="15.6640625" style="46" customWidth="1"/>
    <col min="6150" max="6150" width="1.6640625" style="46" customWidth="1"/>
    <col min="6151" max="6151" width="17.5546875" style="46" customWidth="1"/>
    <col min="6152" max="6152" width="11.44140625" style="46"/>
    <col min="6153" max="6153" width="16.109375" style="46" customWidth="1"/>
    <col min="6154" max="6402" width="11.44140625" style="46"/>
    <col min="6403" max="6403" width="16.44140625" style="46" customWidth="1"/>
    <col min="6404" max="6404" width="11.44140625" style="46"/>
    <col min="6405" max="6405" width="15.6640625" style="46" customWidth="1"/>
    <col min="6406" max="6406" width="1.6640625" style="46" customWidth="1"/>
    <col min="6407" max="6407" width="17.5546875" style="46" customWidth="1"/>
    <col min="6408" max="6408" width="11.44140625" style="46"/>
    <col min="6409" max="6409" width="16.109375" style="46" customWidth="1"/>
    <col min="6410" max="6658" width="11.44140625" style="46"/>
    <col min="6659" max="6659" width="16.44140625" style="46" customWidth="1"/>
    <col min="6660" max="6660" width="11.44140625" style="46"/>
    <col min="6661" max="6661" width="15.6640625" style="46" customWidth="1"/>
    <col min="6662" max="6662" width="1.6640625" style="46" customWidth="1"/>
    <col min="6663" max="6663" width="17.5546875" style="46" customWidth="1"/>
    <col min="6664" max="6664" width="11.44140625" style="46"/>
    <col min="6665" max="6665" width="16.109375" style="46" customWidth="1"/>
    <col min="6666" max="6914" width="11.44140625" style="46"/>
    <col min="6915" max="6915" width="16.44140625" style="46" customWidth="1"/>
    <col min="6916" max="6916" width="11.44140625" style="46"/>
    <col min="6917" max="6917" width="15.6640625" style="46" customWidth="1"/>
    <col min="6918" max="6918" width="1.6640625" style="46" customWidth="1"/>
    <col min="6919" max="6919" width="17.5546875" style="46" customWidth="1"/>
    <col min="6920" max="6920" width="11.44140625" style="46"/>
    <col min="6921" max="6921" width="16.109375" style="46" customWidth="1"/>
    <col min="6922" max="7170" width="11.44140625" style="46"/>
    <col min="7171" max="7171" width="16.44140625" style="46" customWidth="1"/>
    <col min="7172" max="7172" width="11.44140625" style="46"/>
    <col min="7173" max="7173" width="15.6640625" style="46" customWidth="1"/>
    <col min="7174" max="7174" width="1.6640625" style="46" customWidth="1"/>
    <col min="7175" max="7175" width="17.5546875" style="46" customWidth="1"/>
    <col min="7176" max="7176" width="11.44140625" style="46"/>
    <col min="7177" max="7177" width="16.109375" style="46" customWidth="1"/>
    <col min="7178" max="7426" width="11.44140625" style="46"/>
    <col min="7427" max="7427" width="16.44140625" style="46" customWidth="1"/>
    <col min="7428" max="7428" width="11.44140625" style="46"/>
    <col min="7429" max="7429" width="15.6640625" style="46" customWidth="1"/>
    <col min="7430" max="7430" width="1.6640625" style="46" customWidth="1"/>
    <col min="7431" max="7431" width="17.5546875" style="46" customWidth="1"/>
    <col min="7432" max="7432" width="11.44140625" style="46"/>
    <col min="7433" max="7433" width="16.109375" style="46" customWidth="1"/>
    <col min="7434" max="7682" width="11.44140625" style="46"/>
    <col min="7683" max="7683" width="16.44140625" style="46" customWidth="1"/>
    <col min="7684" max="7684" width="11.44140625" style="46"/>
    <col min="7685" max="7685" width="15.6640625" style="46" customWidth="1"/>
    <col min="7686" max="7686" width="1.6640625" style="46" customWidth="1"/>
    <col min="7687" max="7687" width="17.5546875" style="46" customWidth="1"/>
    <col min="7688" max="7688" width="11.44140625" style="46"/>
    <col min="7689" max="7689" width="16.109375" style="46" customWidth="1"/>
    <col min="7690" max="7938" width="11.44140625" style="46"/>
    <col min="7939" max="7939" width="16.44140625" style="46" customWidth="1"/>
    <col min="7940" max="7940" width="11.44140625" style="46"/>
    <col min="7941" max="7941" width="15.6640625" style="46" customWidth="1"/>
    <col min="7942" max="7942" width="1.6640625" style="46" customWidth="1"/>
    <col min="7943" max="7943" width="17.5546875" style="46" customWidth="1"/>
    <col min="7944" max="7944" width="11.44140625" style="46"/>
    <col min="7945" max="7945" width="16.109375" style="46" customWidth="1"/>
    <col min="7946" max="8194" width="11.44140625" style="46"/>
    <col min="8195" max="8195" width="16.44140625" style="46" customWidth="1"/>
    <col min="8196" max="8196" width="11.44140625" style="46"/>
    <col min="8197" max="8197" width="15.6640625" style="46" customWidth="1"/>
    <col min="8198" max="8198" width="1.6640625" style="46" customWidth="1"/>
    <col min="8199" max="8199" width="17.5546875" style="46" customWidth="1"/>
    <col min="8200" max="8200" width="11.44140625" style="46"/>
    <col min="8201" max="8201" width="16.109375" style="46" customWidth="1"/>
    <col min="8202" max="8450" width="11.44140625" style="46"/>
    <col min="8451" max="8451" width="16.44140625" style="46" customWidth="1"/>
    <col min="8452" max="8452" width="11.44140625" style="46"/>
    <col min="8453" max="8453" width="15.6640625" style="46" customWidth="1"/>
    <col min="8454" max="8454" width="1.6640625" style="46" customWidth="1"/>
    <col min="8455" max="8455" width="17.5546875" style="46" customWidth="1"/>
    <col min="8456" max="8456" width="11.44140625" style="46"/>
    <col min="8457" max="8457" width="16.109375" style="46" customWidth="1"/>
    <col min="8458" max="8706" width="11.44140625" style="46"/>
    <col min="8707" max="8707" width="16.44140625" style="46" customWidth="1"/>
    <col min="8708" max="8708" width="11.44140625" style="46"/>
    <col min="8709" max="8709" width="15.6640625" style="46" customWidth="1"/>
    <col min="8710" max="8710" width="1.6640625" style="46" customWidth="1"/>
    <col min="8711" max="8711" width="17.5546875" style="46" customWidth="1"/>
    <col min="8712" max="8712" width="11.44140625" style="46"/>
    <col min="8713" max="8713" width="16.109375" style="46" customWidth="1"/>
    <col min="8714" max="8962" width="11.44140625" style="46"/>
    <col min="8963" max="8963" width="16.44140625" style="46" customWidth="1"/>
    <col min="8964" max="8964" width="11.44140625" style="46"/>
    <col min="8965" max="8965" width="15.6640625" style="46" customWidth="1"/>
    <col min="8966" max="8966" width="1.6640625" style="46" customWidth="1"/>
    <col min="8967" max="8967" width="17.5546875" style="46" customWidth="1"/>
    <col min="8968" max="8968" width="11.44140625" style="46"/>
    <col min="8969" max="8969" width="16.109375" style="46" customWidth="1"/>
    <col min="8970" max="9218" width="11.44140625" style="46"/>
    <col min="9219" max="9219" width="16.44140625" style="46" customWidth="1"/>
    <col min="9220" max="9220" width="11.44140625" style="46"/>
    <col min="9221" max="9221" width="15.6640625" style="46" customWidth="1"/>
    <col min="9222" max="9222" width="1.6640625" style="46" customWidth="1"/>
    <col min="9223" max="9223" width="17.5546875" style="46" customWidth="1"/>
    <col min="9224" max="9224" width="11.44140625" style="46"/>
    <col min="9225" max="9225" width="16.109375" style="46" customWidth="1"/>
    <col min="9226" max="9474" width="11.44140625" style="46"/>
    <col min="9475" max="9475" width="16.44140625" style="46" customWidth="1"/>
    <col min="9476" max="9476" width="11.44140625" style="46"/>
    <col min="9477" max="9477" width="15.6640625" style="46" customWidth="1"/>
    <col min="9478" max="9478" width="1.6640625" style="46" customWidth="1"/>
    <col min="9479" max="9479" width="17.5546875" style="46" customWidth="1"/>
    <col min="9480" max="9480" width="11.44140625" style="46"/>
    <col min="9481" max="9481" width="16.109375" style="46" customWidth="1"/>
    <col min="9482" max="9730" width="11.44140625" style="46"/>
    <col min="9731" max="9731" width="16.44140625" style="46" customWidth="1"/>
    <col min="9732" max="9732" width="11.44140625" style="46"/>
    <col min="9733" max="9733" width="15.6640625" style="46" customWidth="1"/>
    <col min="9734" max="9734" width="1.6640625" style="46" customWidth="1"/>
    <col min="9735" max="9735" width="17.5546875" style="46" customWidth="1"/>
    <col min="9736" max="9736" width="11.44140625" style="46"/>
    <col min="9737" max="9737" width="16.109375" style="46" customWidth="1"/>
    <col min="9738" max="9986" width="11.44140625" style="46"/>
    <col min="9987" max="9987" width="16.44140625" style="46" customWidth="1"/>
    <col min="9988" max="9988" width="11.44140625" style="46"/>
    <col min="9989" max="9989" width="15.6640625" style="46" customWidth="1"/>
    <col min="9990" max="9990" width="1.6640625" style="46" customWidth="1"/>
    <col min="9991" max="9991" width="17.5546875" style="46" customWidth="1"/>
    <col min="9992" max="9992" width="11.44140625" style="46"/>
    <col min="9993" max="9993" width="16.109375" style="46" customWidth="1"/>
    <col min="9994" max="10242" width="11.44140625" style="46"/>
    <col min="10243" max="10243" width="16.44140625" style="46" customWidth="1"/>
    <col min="10244" max="10244" width="11.44140625" style="46"/>
    <col min="10245" max="10245" width="15.6640625" style="46" customWidth="1"/>
    <col min="10246" max="10246" width="1.6640625" style="46" customWidth="1"/>
    <col min="10247" max="10247" width="17.5546875" style="46" customWidth="1"/>
    <col min="10248" max="10248" width="11.44140625" style="46"/>
    <col min="10249" max="10249" width="16.109375" style="46" customWidth="1"/>
    <col min="10250" max="10498" width="11.44140625" style="46"/>
    <col min="10499" max="10499" width="16.44140625" style="46" customWidth="1"/>
    <col min="10500" max="10500" width="11.44140625" style="46"/>
    <col min="10501" max="10501" width="15.6640625" style="46" customWidth="1"/>
    <col min="10502" max="10502" width="1.6640625" style="46" customWidth="1"/>
    <col min="10503" max="10503" width="17.5546875" style="46" customWidth="1"/>
    <col min="10504" max="10504" width="11.44140625" style="46"/>
    <col min="10505" max="10505" width="16.109375" style="46" customWidth="1"/>
    <col min="10506" max="10754" width="11.44140625" style="46"/>
    <col min="10755" max="10755" width="16.44140625" style="46" customWidth="1"/>
    <col min="10756" max="10756" width="11.44140625" style="46"/>
    <col min="10757" max="10757" width="15.6640625" style="46" customWidth="1"/>
    <col min="10758" max="10758" width="1.6640625" style="46" customWidth="1"/>
    <col min="10759" max="10759" width="17.5546875" style="46" customWidth="1"/>
    <col min="10760" max="10760" width="11.44140625" style="46"/>
    <col min="10761" max="10761" width="16.109375" style="46" customWidth="1"/>
    <col min="10762" max="11010" width="11.44140625" style="46"/>
    <col min="11011" max="11011" width="16.44140625" style="46" customWidth="1"/>
    <col min="11012" max="11012" width="11.44140625" style="46"/>
    <col min="11013" max="11013" width="15.6640625" style="46" customWidth="1"/>
    <col min="11014" max="11014" width="1.6640625" style="46" customWidth="1"/>
    <col min="11015" max="11015" width="17.5546875" style="46" customWidth="1"/>
    <col min="11016" max="11016" width="11.44140625" style="46"/>
    <col min="11017" max="11017" width="16.109375" style="46" customWidth="1"/>
    <col min="11018" max="11266" width="11.44140625" style="46"/>
    <col min="11267" max="11267" width="16.44140625" style="46" customWidth="1"/>
    <col min="11268" max="11268" width="11.44140625" style="46"/>
    <col min="11269" max="11269" width="15.6640625" style="46" customWidth="1"/>
    <col min="11270" max="11270" width="1.6640625" style="46" customWidth="1"/>
    <col min="11271" max="11271" width="17.5546875" style="46" customWidth="1"/>
    <col min="11272" max="11272" width="11.44140625" style="46"/>
    <col min="11273" max="11273" width="16.109375" style="46" customWidth="1"/>
    <col min="11274" max="11522" width="11.44140625" style="46"/>
    <col min="11523" max="11523" width="16.44140625" style="46" customWidth="1"/>
    <col min="11524" max="11524" width="11.44140625" style="46"/>
    <col min="11525" max="11525" width="15.6640625" style="46" customWidth="1"/>
    <col min="11526" max="11526" width="1.6640625" style="46" customWidth="1"/>
    <col min="11527" max="11527" width="17.5546875" style="46" customWidth="1"/>
    <col min="11528" max="11528" width="11.44140625" style="46"/>
    <col min="11529" max="11529" width="16.109375" style="46" customWidth="1"/>
    <col min="11530" max="11778" width="11.44140625" style="46"/>
    <col min="11779" max="11779" width="16.44140625" style="46" customWidth="1"/>
    <col min="11780" max="11780" width="11.44140625" style="46"/>
    <col min="11781" max="11781" width="15.6640625" style="46" customWidth="1"/>
    <col min="11782" max="11782" width="1.6640625" style="46" customWidth="1"/>
    <col min="11783" max="11783" width="17.5546875" style="46" customWidth="1"/>
    <col min="11784" max="11784" width="11.44140625" style="46"/>
    <col min="11785" max="11785" width="16.109375" style="46" customWidth="1"/>
    <col min="11786" max="12034" width="11.44140625" style="46"/>
    <col min="12035" max="12035" width="16.44140625" style="46" customWidth="1"/>
    <col min="12036" max="12036" width="11.44140625" style="46"/>
    <col min="12037" max="12037" width="15.6640625" style="46" customWidth="1"/>
    <col min="12038" max="12038" width="1.6640625" style="46" customWidth="1"/>
    <col min="12039" max="12039" width="17.5546875" style="46" customWidth="1"/>
    <col min="12040" max="12040" width="11.44140625" style="46"/>
    <col min="12041" max="12041" width="16.109375" style="46" customWidth="1"/>
    <col min="12042" max="12290" width="11.44140625" style="46"/>
    <col min="12291" max="12291" width="16.44140625" style="46" customWidth="1"/>
    <col min="12292" max="12292" width="11.44140625" style="46"/>
    <col min="12293" max="12293" width="15.6640625" style="46" customWidth="1"/>
    <col min="12294" max="12294" width="1.6640625" style="46" customWidth="1"/>
    <col min="12295" max="12295" width="17.5546875" style="46" customWidth="1"/>
    <col min="12296" max="12296" width="11.44140625" style="46"/>
    <col min="12297" max="12297" width="16.109375" style="46" customWidth="1"/>
    <col min="12298" max="12546" width="11.44140625" style="46"/>
    <col min="12547" max="12547" width="16.44140625" style="46" customWidth="1"/>
    <col min="12548" max="12548" width="11.44140625" style="46"/>
    <col min="12549" max="12549" width="15.6640625" style="46" customWidth="1"/>
    <col min="12550" max="12550" width="1.6640625" style="46" customWidth="1"/>
    <col min="12551" max="12551" width="17.5546875" style="46" customWidth="1"/>
    <col min="12552" max="12552" width="11.44140625" style="46"/>
    <col min="12553" max="12553" width="16.109375" style="46" customWidth="1"/>
    <col min="12554" max="12802" width="11.44140625" style="46"/>
    <col min="12803" max="12803" width="16.44140625" style="46" customWidth="1"/>
    <col min="12804" max="12804" width="11.44140625" style="46"/>
    <col min="12805" max="12805" width="15.6640625" style="46" customWidth="1"/>
    <col min="12806" max="12806" width="1.6640625" style="46" customWidth="1"/>
    <col min="12807" max="12807" width="17.5546875" style="46" customWidth="1"/>
    <col min="12808" max="12808" width="11.44140625" style="46"/>
    <col min="12809" max="12809" width="16.109375" style="46" customWidth="1"/>
    <col min="12810" max="13058" width="11.44140625" style="46"/>
    <col min="13059" max="13059" width="16.44140625" style="46" customWidth="1"/>
    <col min="13060" max="13060" width="11.44140625" style="46"/>
    <col min="13061" max="13061" width="15.6640625" style="46" customWidth="1"/>
    <col min="13062" max="13062" width="1.6640625" style="46" customWidth="1"/>
    <col min="13063" max="13063" width="17.5546875" style="46" customWidth="1"/>
    <col min="13064" max="13064" width="11.44140625" style="46"/>
    <col min="13065" max="13065" width="16.109375" style="46" customWidth="1"/>
    <col min="13066" max="13314" width="11.44140625" style="46"/>
    <col min="13315" max="13315" width="16.44140625" style="46" customWidth="1"/>
    <col min="13316" max="13316" width="11.44140625" style="46"/>
    <col min="13317" max="13317" width="15.6640625" style="46" customWidth="1"/>
    <col min="13318" max="13318" width="1.6640625" style="46" customWidth="1"/>
    <col min="13319" max="13319" width="17.5546875" style="46" customWidth="1"/>
    <col min="13320" max="13320" width="11.44140625" style="46"/>
    <col min="13321" max="13321" width="16.109375" style="46" customWidth="1"/>
    <col min="13322" max="13570" width="11.44140625" style="46"/>
    <col min="13571" max="13571" width="16.44140625" style="46" customWidth="1"/>
    <col min="13572" max="13572" width="11.44140625" style="46"/>
    <col min="13573" max="13573" width="15.6640625" style="46" customWidth="1"/>
    <col min="13574" max="13574" width="1.6640625" style="46" customWidth="1"/>
    <col min="13575" max="13575" width="17.5546875" style="46" customWidth="1"/>
    <col min="13576" max="13576" width="11.44140625" style="46"/>
    <col min="13577" max="13577" width="16.109375" style="46" customWidth="1"/>
    <col min="13578" max="13826" width="11.44140625" style="46"/>
    <col min="13827" max="13827" width="16.44140625" style="46" customWidth="1"/>
    <col min="13828" max="13828" width="11.44140625" style="46"/>
    <col min="13829" max="13829" width="15.6640625" style="46" customWidth="1"/>
    <col min="13830" max="13830" width="1.6640625" style="46" customWidth="1"/>
    <col min="13831" max="13831" width="17.5546875" style="46" customWidth="1"/>
    <col min="13832" max="13832" width="11.44140625" style="46"/>
    <col min="13833" max="13833" width="16.109375" style="46" customWidth="1"/>
    <col min="13834" max="14082" width="11.44140625" style="46"/>
    <col min="14083" max="14083" width="16.44140625" style="46" customWidth="1"/>
    <col min="14084" max="14084" width="11.44140625" style="46"/>
    <col min="14085" max="14085" width="15.6640625" style="46" customWidth="1"/>
    <col min="14086" max="14086" width="1.6640625" style="46" customWidth="1"/>
    <col min="14087" max="14087" width="17.5546875" style="46" customWidth="1"/>
    <col min="14088" max="14088" width="11.44140625" style="46"/>
    <col min="14089" max="14089" width="16.109375" style="46" customWidth="1"/>
    <col min="14090" max="14338" width="11.44140625" style="46"/>
    <col min="14339" max="14339" width="16.44140625" style="46" customWidth="1"/>
    <col min="14340" max="14340" width="11.44140625" style="46"/>
    <col min="14341" max="14341" width="15.6640625" style="46" customWidth="1"/>
    <col min="14342" max="14342" width="1.6640625" style="46" customWidth="1"/>
    <col min="14343" max="14343" width="17.5546875" style="46" customWidth="1"/>
    <col min="14344" max="14344" width="11.44140625" style="46"/>
    <col min="14345" max="14345" width="16.109375" style="46" customWidth="1"/>
    <col min="14346" max="14594" width="11.44140625" style="46"/>
    <col min="14595" max="14595" width="16.44140625" style="46" customWidth="1"/>
    <col min="14596" max="14596" width="11.44140625" style="46"/>
    <col min="14597" max="14597" width="15.6640625" style="46" customWidth="1"/>
    <col min="14598" max="14598" width="1.6640625" style="46" customWidth="1"/>
    <col min="14599" max="14599" width="17.5546875" style="46" customWidth="1"/>
    <col min="14600" max="14600" width="11.44140625" style="46"/>
    <col min="14601" max="14601" width="16.109375" style="46" customWidth="1"/>
    <col min="14602" max="14850" width="11.44140625" style="46"/>
    <col min="14851" max="14851" width="16.44140625" style="46" customWidth="1"/>
    <col min="14852" max="14852" width="11.44140625" style="46"/>
    <col min="14853" max="14853" width="15.6640625" style="46" customWidth="1"/>
    <col min="14854" max="14854" width="1.6640625" style="46" customWidth="1"/>
    <col min="14855" max="14855" width="17.5546875" style="46" customWidth="1"/>
    <col min="14856" max="14856" width="11.44140625" style="46"/>
    <col min="14857" max="14857" width="16.109375" style="46" customWidth="1"/>
    <col min="14858" max="15106" width="11.44140625" style="46"/>
    <col min="15107" max="15107" width="16.44140625" style="46" customWidth="1"/>
    <col min="15108" max="15108" width="11.44140625" style="46"/>
    <col min="15109" max="15109" width="15.6640625" style="46" customWidth="1"/>
    <col min="15110" max="15110" width="1.6640625" style="46" customWidth="1"/>
    <col min="15111" max="15111" width="17.5546875" style="46" customWidth="1"/>
    <col min="15112" max="15112" width="11.44140625" style="46"/>
    <col min="15113" max="15113" width="16.109375" style="46" customWidth="1"/>
    <col min="15114" max="15362" width="11.44140625" style="46"/>
    <col min="15363" max="15363" width="16.44140625" style="46" customWidth="1"/>
    <col min="15364" max="15364" width="11.44140625" style="46"/>
    <col min="15365" max="15365" width="15.6640625" style="46" customWidth="1"/>
    <col min="15366" max="15366" width="1.6640625" style="46" customWidth="1"/>
    <col min="15367" max="15367" width="17.5546875" style="46" customWidth="1"/>
    <col min="15368" max="15368" width="11.44140625" style="46"/>
    <col min="15369" max="15369" width="16.109375" style="46" customWidth="1"/>
    <col min="15370" max="15618" width="11.44140625" style="46"/>
    <col min="15619" max="15619" width="16.44140625" style="46" customWidth="1"/>
    <col min="15620" max="15620" width="11.44140625" style="46"/>
    <col min="15621" max="15621" width="15.6640625" style="46" customWidth="1"/>
    <col min="15622" max="15622" width="1.6640625" style="46" customWidth="1"/>
    <col min="15623" max="15623" width="17.5546875" style="46" customWidth="1"/>
    <col min="15624" max="15624" width="11.44140625" style="46"/>
    <col min="15625" max="15625" width="16.109375" style="46" customWidth="1"/>
    <col min="15626" max="15874" width="11.44140625" style="46"/>
    <col min="15875" max="15875" width="16.44140625" style="46" customWidth="1"/>
    <col min="15876" max="15876" width="11.44140625" style="46"/>
    <col min="15877" max="15877" width="15.6640625" style="46" customWidth="1"/>
    <col min="15878" max="15878" width="1.6640625" style="46" customWidth="1"/>
    <col min="15879" max="15879" width="17.5546875" style="46" customWidth="1"/>
    <col min="15880" max="15880" width="11.44140625" style="46"/>
    <col min="15881" max="15881" width="16.109375" style="46" customWidth="1"/>
    <col min="15882" max="16130" width="11.44140625" style="46"/>
    <col min="16131" max="16131" width="16.44140625" style="46" customWidth="1"/>
    <col min="16132" max="16132" width="11.44140625" style="46"/>
    <col min="16133" max="16133" width="15.6640625" style="46" customWidth="1"/>
    <col min="16134" max="16134" width="1.6640625" style="46" customWidth="1"/>
    <col min="16135" max="16135" width="17.5546875" style="46" customWidth="1"/>
    <col min="16136" max="16136" width="11.44140625" style="46"/>
    <col min="16137" max="16137" width="16.109375" style="46" customWidth="1"/>
    <col min="16138" max="16384" width="11.44140625" style="46"/>
  </cols>
  <sheetData>
    <row r="1" spans="2:11" ht="19.95" customHeight="1" x14ac:dyDescent="0.25">
      <c r="C1" s="601" t="s">
        <v>441</v>
      </c>
      <c r="D1" s="601"/>
      <c r="E1" s="601"/>
      <c r="F1" s="601"/>
      <c r="G1" s="601"/>
      <c r="H1" s="601"/>
      <c r="I1" s="601"/>
      <c r="J1" s="601"/>
      <c r="K1" s="601"/>
    </row>
    <row r="3" spans="2:11" x14ac:dyDescent="0.25">
      <c r="C3" s="645" t="s">
        <v>227</v>
      </c>
      <c r="D3" s="646"/>
      <c r="E3" s="647"/>
      <c r="F3" s="333"/>
      <c r="G3" s="645" t="s">
        <v>228</v>
      </c>
      <c r="H3" s="646"/>
      <c r="I3" s="647"/>
    </row>
    <row r="4" spans="2:11" x14ac:dyDescent="0.25">
      <c r="C4" s="330" t="s">
        <v>229</v>
      </c>
      <c r="D4" s="334" t="s">
        <v>230</v>
      </c>
      <c r="E4" s="331" t="s">
        <v>231</v>
      </c>
      <c r="F4" s="332"/>
      <c r="G4" s="330" t="s">
        <v>229</v>
      </c>
      <c r="H4" s="334" t="s">
        <v>230</v>
      </c>
      <c r="I4" s="335" t="s">
        <v>231</v>
      </c>
    </row>
    <row r="5" spans="2:11" x14ac:dyDescent="0.25">
      <c r="C5" s="325" t="s">
        <v>232</v>
      </c>
      <c r="D5" s="326">
        <v>0.2</v>
      </c>
      <c r="E5" s="21">
        <v>180000</v>
      </c>
      <c r="F5" s="315"/>
      <c r="G5" s="325" t="s">
        <v>232</v>
      </c>
      <c r="H5" s="326">
        <v>0.4</v>
      </c>
      <c r="I5" s="21">
        <v>300000</v>
      </c>
    </row>
    <row r="6" spans="2:11" x14ac:dyDescent="0.25">
      <c r="C6" s="325" t="s">
        <v>233</v>
      </c>
      <c r="D6" s="326">
        <v>0.6</v>
      </c>
      <c r="E6" s="21">
        <v>130000</v>
      </c>
      <c r="F6" s="315"/>
      <c r="G6" s="325" t="s">
        <v>233</v>
      </c>
      <c r="H6" s="326">
        <v>0.2</v>
      </c>
      <c r="I6" s="21">
        <v>230000</v>
      </c>
    </row>
    <row r="7" spans="2:11" x14ac:dyDescent="0.25">
      <c r="C7" s="327" t="s">
        <v>234</v>
      </c>
      <c r="D7" s="328">
        <v>0.2</v>
      </c>
      <c r="E7" s="62">
        <v>85000</v>
      </c>
      <c r="F7" s="329"/>
      <c r="G7" s="327" t="s">
        <v>234</v>
      </c>
      <c r="H7" s="328">
        <v>0.4</v>
      </c>
      <c r="I7" s="62">
        <v>0</v>
      </c>
    </row>
    <row r="10" spans="2:11" x14ac:dyDescent="0.25">
      <c r="B10" s="316"/>
      <c r="F10" s="48"/>
      <c r="G10" s="317"/>
      <c r="H10" s="317"/>
      <c r="I10" s="317"/>
      <c r="J10" s="317"/>
      <c r="K10" s="318" t="s">
        <v>235</v>
      </c>
    </row>
    <row r="11" spans="2:11" x14ac:dyDescent="0.25">
      <c r="F11" s="48"/>
      <c r="G11" s="317"/>
      <c r="H11" s="317"/>
      <c r="I11" s="317"/>
      <c r="J11" s="317" t="s">
        <v>232</v>
      </c>
      <c r="K11" s="317">
        <v>180000</v>
      </c>
    </row>
    <row r="12" spans="2:11" x14ac:dyDescent="0.25">
      <c r="F12" s="48"/>
      <c r="G12" s="317"/>
      <c r="H12" s="319">
        <v>0.2</v>
      </c>
      <c r="I12" s="317"/>
      <c r="K12" s="317"/>
    </row>
    <row r="13" spans="2:11" x14ac:dyDescent="0.25">
      <c r="F13" s="48"/>
      <c r="G13" s="317"/>
      <c r="H13" s="317"/>
      <c r="I13" s="317"/>
      <c r="J13" s="317"/>
      <c r="K13" s="317"/>
    </row>
    <row r="14" spans="2:11" x14ac:dyDescent="0.25">
      <c r="F14" s="48"/>
      <c r="G14" s="317"/>
      <c r="H14" s="317"/>
      <c r="I14" s="317"/>
      <c r="J14" s="317"/>
      <c r="K14" s="317"/>
    </row>
    <row r="15" spans="2:11" x14ac:dyDescent="0.25">
      <c r="F15" s="48"/>
      <c r="G15" s="317"/>
      <c r="I15" s="317"/>
      <c r="J15" s="317" t="s">
        <v>233</v>
      </c>
      <c r="K15" s="317">
        <v>130000</v>
      </c>
    </row>
    <row r="16" spans="2:11" x14ac:dyDescent="0.25">
      <c r="F16" s="48"/>
      <c r="G16" s="317"/>
      <c r="I16" s="320">
        <v>0.6</v>
      </c>
      <c r="K16" s="317"/>
    </row>
    <row r="17" spans="6:11" x14ac:dyDescent="0.25">
      <c r="F17" s="48"/>
      <c r="G17" s="317"/>
      <c r="H17" s="321" t="s">
        <v>236</v>
      </c>
      <c r="I17" s="317"/>
      <c r="J17" s="317"/>
      <c r="K17" s="317"/>
    </row>
    <row r="18" spans="6:11" x14ac:dyDescent="0.25">
      <c r="F18" s="48"/>
      <c r="G18" s="317"/>
      <c r="H18" s="321">
        <v>-110000</v>
      </c>
      <c r="I18" s="317"/>
      <c r="J18" s="317"/>
      <c r="K18" s="317"/>
    </row>
    <row r="19" spans="6:11" x14ac:dyDescent="0.25">
      <c r="F19" s="48"/>
      <c r="G19" s="317"/>
      <c r="H19" s="317"/>
      <c r="I19" s="317"/>
      <c r="J19" s="317" t="s">
        <v>234</v>
      </c>
      <c r="K19" s="317">
        <v>85000</v>
      </c>
    </row>
    <row r="20" spans="6:11" x14ac:dyDescent="0.25">
      <c r="F20" s="322"/>
      <c r="G20" s="317"/>
      <c r="H20" s="319">
        <v>0.2</v>
      </c>
      <c r="I20" s="317"/>
      <c r="K20" s="317"/>
    </row>
    <row r="21" spans="6:11" x14ac:dyDescent="0.25">
      <c r="G21" s="317"/>
      <c r="H21" s="317"/>
      <c r="I21" s="317"/>
      <c r="J21" s="317"/>
      <c r="K21" s="317"/>
    </row>
    <row r="22" spans="6:11" x14ac:dyDescent="0.25">
      <c r="F22" s="48"/>
      <c r="G22" s="317"/>
      <c r="H22" s="317"/>
      <c r="I22" s="317"/>
      <c r="J22" s="317"/>
      <c r="K22" s="318" t="s">
        <v>235</v>
      </c>
    </row>
    <row r="23" spans="6:11" x14ac:dyDescent="0.25">
      <c r="F23" s="48"/>
      <c r="G23" s="317"/>
      <c r="H23" s="317"/>
      <c r="I23" s="317"/>
      <c r="J23" s="317" t="s">
        <v>232</v>
      </c>
      <c r="K23" s="317">
        <v>300000</v>
      </c>
    </row>
    <row r="24" spans="6:11" x14ac:dyDescent="0.25">
      <c r="F24" s="48"/>
      <c r="G24" s="317"/>
      <c r="H24" s="319">
        <v>0.4</v>
      </c>
      <c r="I24" s="317"/>
      <c r="K24" s="317"/>
    </row>
    <row r="25" spans="6:11" x14ac:dyDescent="0.25">
      <c r="F25" s="48"/>
      <c r="G25" s="317"/>
      <c r="H25" s="317"/>
      <c r="I25" s="317"/>
      <c r="J25" s="317"/>
      <c r="K25" s="317"/>
    </row>
    <row r="26" spans="6:11" x14ac:dyDescent="0.25">
      <c r="F26" s="48"/>
      <c r="G26" s="317"/>
      <c r="H26" s="317"/>
      <c r="I26" s="317"/>
      <c r="J26" s="317"/>
      <c r="K26" s="317"/>
    </row>
    <row r="27" spans="6:11" x14ac:dyDescent="0.25">
      <c r="F27" s="48"/>
      <c r="G27" s="317"/>
      <c r="I27" s="317"/>
      <c r="J27" s="317" t="s">
        <v>233</v>
      </c>
      <c r="K27" s="317">
        <v>230000</v>
      </c>
    </row>
    <row r="28" spans="6:11" x14ac:dyDescent="0.25">
      <c r="F28" s="48"/>
      <c r="G28" s="317"/>
      <c r="I28" s="320">
        <v>0.2</v>
      </c>
      <c r="K28" s="317"/>
    </row>
    <row r="29" spans="6:11" x14ac:dyDescent="0.25">
      <c r="F29" s="48"/>
      <c r="G29" s="317"/>
      <c r="H29" s="321" t="s">
        <v>237</v>
      </c>
      <c r="I29" s="317"/>
      <c r="J29" s="317"/>
      <c r="K29" s="317"/>
    </row>
    <row r="30" spans="6:11" x14ac:dyDescent="0.25">
      <c r="F30" s="48"/>
      <c r="G30" s="317"/>
      <c r="H30" s="321">
        <v>-125000</v>
      </c>
      <c r="I30" s="317"/>
      <c r="J30" s="317"/>
      <c r="K30" s="317"/>
    </row>
    <row r="31" spans="6:11" x14ac:dyDescent="0.25">
      <c r="F31" s="48"/>
      <c r="G31" s="317"/>
      <c r="H31" s="317"/>
      <c r="I31" s="317"/>
      <c r="J31" s="317" t="s">
        <v>234</v>
      </c>
      <c r="K31" s="317">
        <v>0</v>
      </c>
    </row>
    <row r="32" spans="6:11" x14ac:dyDescent="0.25">
      <c r="F32" s="48"/>
      <c r="G32" s="317"/>
      <c r="H32" s="319">
        <v>0.4</v>
      </c>
      <c r="I32" s="317"/>
      <c r="K32" s="317"/>
    </row>
    <row r="33" spans="2:11" x14ac:dyDescent="0.25">
      <c r="F33" s="48"/>
      <c r="G33" s="48"/>
      <c r="H33" s="48"/>
    </row>
    <row r="36" spans="2:11" x14ac:dyDescent="0.25">
      <c r="B36" s="316"/>
      <c r="C36" s="342" t="s">
        <v>238</v>
      </c>
      <c r="D36" s="343" t="s">
        <v>24</v>
      </c>
      <c r="E36" s="344">
        <v>-110000</v>
      </c>
      <c r="F36" s="344" t="s">
        <v>37</v>
      </c>
      <c r="G36" s="345" t="s">
        <v>239</v>
      </c>
      <c r="H36" s="344" t="s">
        <v>37</v>
      </c>
      <c r="I36" s="345" t="s">
        <v>240</v>
      </c>
      <c r="J36" s="344" t="s">
        <v>37</v>
      </c>
      <c r="K36" s="346" t="s">
        <v>241</v>
      </c>
    </row>
    <row r="37" spans="2:11" ht="4.2" customHeight="1" x14ac:dyDescent="0.25">
      <c r="C37" s="347"/>
      <c r="D37" s="348"/>
      <c r="E37" s="350"/>
      <c r="F37" s="350"/>
      <c r="G37" s="350"/>
      <c r="H37" s="350"/>
      <c r="I37" s="350"/>
      <c r="J37" s="350"/>
      <c r="K37" s="351"/>
    </row>
    <row r="38" spans="2:11" x14ac:dyDescent="0.25">
      <c r="C38" s="339" t="s">
        <v>238</v>
      </c>
      <c r="D38" s="340" t="s">
        <v>24</v>
      </c>
      <c r="E38" s="341">
        <f>+E36+H12*K11+I16*K15+H20*K19</f>
        <v>21000</v>
      </c>
      <c r="F38" s="357"/>
      <c r="G38" s="357"/>
      <c r="H38" s="357"/>
      <c r="I38" s="357"/>
      <c r="J38" s="357"/>
      <c r="K38" s="358"/>
    </row>
    <row r="41" spans="2:11" x14ac:dyDescent="0.25">
      <c r="C41" s="342" t="s">
        <v>242</v>
      </c>
      <c r="D41" s="343" t="s">
        <v>24</v>
      </c>
      <c r="E41" s="344">
        <v>-125000</v>
      </c>
      <c r="F41" s="344" t="s">
        <v>37</v>
      </c>
      <c r="G41" s="345" t="s">
        <v>243</v>
      </c>
      <c r="H41" s="344" t="s">
        <v>37</v>
      </c>
      <c r="I41" s="345" t="s">
        <v>244</v>
      </c>
      <c r="J41" s="344" t="s">
        <v>37</v>
      </c>
      <c r="K41" s="346" t="s">
        <v>245</v>
      </c>
    </row>
    <row r="42" spans="2:11" ht="6" customHeight="1" x14ac:dyDescent="0.25">
      <c r="C42" s="352"/>
      <c r="D42" s="353"/>
      <c r="E42" s="354"/>
      <c r="F42" s="355"/>
      <c r="G42" s="355"/>
      <c r="H42" s="355"/>
      <c r="I42" s="355"/>
      <c r="J42" s="355"/>
      <c r="K42" s="356"/>
    </row>
    <row r="43" spans="2:11" x14ac:dyDescent="0.25">
      <c r="C43" s="339" t="s">
        <v>242</v>
      </c>
      <c r="D43" s="340" t="s">
        <v>24</v>
      </c>
      <c r="E43" s="341">
        <f>+E41+H24*K23+I28*K27+H32*K31</f>
        <v>41000</v>
      </c>
      <c r="F43" s="357"/>
      <c r="G43" s="357"/>
      <c r="H43" s="357"/>
      <c r="I43" s="357"/>
      <c r="J43" s="357"/>
      <c r="K43" s="358"/>
    </row>
  </sheetData>
  <sheetProtection algorithmName="SHA-512" hashValue="Vbwbm4Nt1HJVslqNRD/NJvJUMRWY9SrYYB+Wwp8WydFY3e/4DJ+Pxr8PhZOqWAr6676ZSd2UgN01Pxvs5maYHQ==" saltValue="G3h6q4WYjmZitzD9dIuhaA==" spinCount="100000" sheet="1" objects="1" scenarios="1"/>
  <mergeCells count="3">
    <mergeCell ref="C3:E3"/>
    <mergeCell ref="G3:I3"/>
    <mergeCell ref="C1:K1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48"/>
  <sheetViews>
    <sheetView topLeftCell="A13" zoomScaleNormal="100" workbookViewId="0">
      <selection activeCell="A3" sqref="A3"/>
    </sheetView>
  </sheetViews>
  <sheetFormatPr baseColWidth="10" defaultColWidth="11.44140625" defaultRowHeight="13.8" x14ac:dyDescent="0.25"/>
  <cols>
    <col min="1" max="1" width="24.6640625" style="6" customWidth="1"/>
    <col min="2" max="2" width="11.44140625" style="6"/>
    <col min="3" max="3" width="2.6640625" style="6" customWidth="1"/>
    <col min="4" max="4" width="8.109375" style="6" customWidth="1"/>
    <col min="5" max="5" width="3" style="6" customWidth="1"/>
    <col min="6" max="6" width="13.6640625" style="6" customWidth="1"/>
    <col min="7" max="7" width="2.5546875" style="6" customWidth="1"/>
    <col min="8" max="8" width="10.109375" style="6" bestFit="1" customWidth="1"/>
    <col min="9" max="9" width="2" style="6" customWidth="1"/>
    <col min="10" max="10" width="12.88671875" style="6" bestFit="1" customWidth="1"/>
    <col min="11" max="11" width="2.33203125" style="6" customWidth="1"/>
    <col min="12" max="12" width="12.6640625" style="6" bestFit="1" customWidth="1"/>
    <col min="13" max="13" width="2.88671875" style="6" customWidth="1"/>
    <col min="14" max="14" width="13.44140625" style="203" bestFit="1" customWidth="1"/>
    <col min="15" max="16" width="11.44140625" style="6"/>
    <col min="17" max="17" width="2.109375" style="6" customWidth="1"/>
    <col min="18" max="18" width="11.44140625" style="6"/>
    <col min="19" max="19" width="45.44140625" style="6" bestFit="1" customWidth="1"/>
    <col min="20" max="20" width="2.44140625" style="6" customWidth="1"/>
    <col min="21" max="21" width="5.5546875" style="6" bestFit="1" customWidth="1"/>
    <col min="22" max="22" width="2.109375" style="6" bestFit="1" customWidth="1"/>
    <col min="23" max="23" width="12.6640625" style="6" bestFit="1" customWidth="1"/>
    <col min="24" max="24" width="2" style="6" bestFit="1" customWidth="1"/>
    <col min="25" max="25" width="4.6640625" style="6" bestFit="1" customWidth="1"/>
    <col min="26" max="16384" width="11.44140625" style="6"/>
  </cols>
  <sheetData>
    <row r="1" spans="2:14" ht="19.95" customHeight="1" x14ac:dyDescent="0.25">
      <c r="B1" s="583" t="s">
        <v>440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</row>
    <row r="3" spans="2:14" x14ac:dyDescent="0.25">
      <c r="D3" s="11"/>
      <c r="N3" s="6" t="s">
        <v>354</v>
      </c>
    </row>
    <row r="4" spans="2:14" x14ac:dyDescent="0.25">
      <c r="M4" s="69"/>
      <c r="N4" s="6"/>
    </row>
    <row r="5" spans="2:14" x14ac:dyDescent="0.25">
      <c r="N5" s="6">
        <v>10000000</v>
      </c>
    </row>
    <row r="6" spans="2:14" x14ac:dyDescent="0.25">
      <c r="N6" s="6"/>
    </row>
    <row r="7" spans="2:14" x14ac:dyDescent="0.25">
      <c r="E7" s="13"/>
      <c r="J7" s="6" t="s">
        <v>352</v>
      </c>
      <c r="N7" s="6"/>
    </row>
    <row r="8" spans="2:14" x14ac:dyDescent="0.25">
      <c r="K8" s="69"/>
      <c r="N8" s="6"/>
    </row>
    <row r="9" spans="2:14" x14ac:dyDescent="0.25">
      <c r="N9" s="6"/>
    </row>
    <row r="10" spans="2:14" x14ac:dyDescent="0.25">
      <c r="J10" s="305">
        <v>0.3</v>
      </c>
      <c r="N10" s="6"/>
    </row>
    <row r="11" spans="2:14" x14ac:dyDescent="0.25">
      <c r="N11" s="6"/>
    </row>
    <row r="12" spans="2:14" x14ac:dyDescent="0.25">
      <c r="H12" s="6" t="s">
        <v>349</v>
      </c>
      <c r="N12" s="6"/>
    </row>
    <row r="13" spans="2:14" x14ac:dyDescent="0.25">
      <c r="F13" s="6" t="s">
        <v>346</v>
      </c>
      <c r="H13" s="6" t="s">
        <v>350</v>
      </c>
      <c r="N13" s="6"/>
    </row>
    <row r="14" spans="2:14" x14ac:dyDescent="0.25">
      <c r="F14" s="6" t="s">
        <v>347</v>
      </c>
      <c r="G14" s="69"/>
      <c r="I14" s="13"/>
      <c r="N14" s="6"/>
    </row>
    <row r="15" spans="2:14" x14ac:dyDescent="0.25">
      <c r="N15" s="6"/>
    </row>
    <row r="16" spans="2:14" x14ac:dyDescent="0.25">
      <c r="F16" s="305">
        <v>0.1</v>
      </c>
      <c r="N16" s="6"/>
    </row>
    <row r="17" spans="3:18" x14ac:dyDescent="0.25">
      <c r="N17" s="6"/>
    </row>
    <row r="18" spans="3:18" x14ac:dyDescent="0.25">
      <c r="J18" s="305">
        <v>0.7</v>
      </c>
      <c r="N18" s="6"/>
    </row>
    <row r="19" spans="3:18" x14ac:dyDescent="0.25">
      <c r="N19" s="6"/>
    </row>
    <row r="20" spans="3:18" x14ac:dyDescent="0.25">
      <c r="E20" s="13"/>
      <c r="K20" s="69"/>
      <c r="N20" s="6"/>
    </row>
    <row r="21" spans="3:18" x14ac:dyDescent="0.25">
      <c r="J21" s="6" t="s">
        <v>353</v>
      </c>
      <c r="N21" s="6"/>
    </row>
    <row r="22" spans="3:18" x14ac:dyDescent="0.25">
      <c r="N22" s="6"/>
    </row>
    <row r="23" spans="3:18" x14ac:dyDescent="0.25">
      <c r="F23" s="305">
        <v>0.9</v>
      </c>
      <c r="N23" s="6" t="s">
        <v>355</v>
      </c>
    </row>
    <row r="24" spans="3:18" x14ac:dyDescent="0.25">
      <c r="M24" s="69"/>
      <c r="N24" s="6"/>
    </row>
    <row r="25" spans="3:18" x14ac:dyDescent="0.25">
      <c r="F25" s="6" t="s">
        <v>348</v>
      </c>
      <c r="G25" s="69"/>
      <c r="I25" s="69"/>
      <c r="N25" s="6">
        <v>0</v>
      </c>
    </row>
    <row r="26" spans="3:18" x14ac:dyDescent="0.25">
      <c r="F26" s="6" t="s">
        <v>347</v>
      </c>
      <c r="H26" s="6" t="s">
        <v>351</v>
      </c>
      <c r="N26" s="6"/>
    </row>
    <row r="27" spans="3:18" x14ac:dyDescent="0.25">
      <c r="C27" s="69"/>
      <c r="H27" s="6" t="s">
        <v>350</v>
      </c>
      <c r="N27" s="6"/>
    </row>
    <row r="28" spans="3:18" x14ac:dyDescent="0.25">
      <c r="R28" s="11"/>
    </row>
    <row r="32" spans="3:18" x14ac:dyDescent="0.25">
      <c r="E32" s="69"/>
    </row>
    <row r="33" spans="2:8" x14ac:dyDescent="0.25">
      <c r="F33" s="6">
        <v>5000</v>
      </c>
    </row>
    <row r="38" spans="2:8" x14ac:dyDescent="0.25">
      <c r="B38" s="163" t="s">
        <v>246</v>
      </c>
      <c r="C38" s="306"/>
      <c r="D38" s="306"/>
      <c r="E38" s="306"/>
      <c r="F38" s="306"/>
      <c r="G38" s="306"/>
      <c r="H38" s="165"/>
    </row>
    <row r="39" spans="2:8" x14ac:dyDescent="0.25">
      <c r="B39" s="17" t="s">
        <v>247</v>
      </c>
      <c r="C39" s="175"/>
      <c r="D39" s="175" t="s">
        <v>248</v>
      </c>
      <c r="E39" s="309" t="s">
        <v>24</v>
      </c>
      <c r="F39" s="175">
        <v>10000000</v>
      </c>
      <c r="G39" s="175" t="s">
        <v>36</v>
      </c>
      <c r="H39" s="310">
        <v>0.3</v>
      </c>
    </row>
    <row r="40" spans="2:8" x14ac:dyDescent="0.25">
      <c r="B40" s="19"/>
      <c r="C40" s="13"/>
      <c r="D40" s="13"/>
      <c r="E40" s="139"/>
      <c r="F40" s="13">
        <f>+F39*H39</f>
        <v>3000000</v>
      </c>
      <c r="G40" s="13"/>
      <c r="H40" s="307"/>
    </row>
    <row r="41" spans="2:8" x14ac:dyDescent="0.25">
      <c r="B41" s="23"/>
      <c r="C41" s="43"/>
      <c r="D41" s="43"/>
      <c r="E41" s="137"/>
      <c r="F41" s="43"/>
      <c r="G41" s="43"/>
      <c r="H41" s="311"/>
    </row>
    <row r="42" spans="2:8" x14ac:dyDescent="0.25">
      <c r="B42" s="17" t="s">
        <v>249</v>
      </c>
      <c r="C42" s="175"/>
      <c r="D42" s="175" t="s">
        <v>248</v>
      </c>
      <c r="E42" s="309" t="s">
        <v>24</v>
      </c>
      <c r="F42" s="175">
        <f>+F40</f>
        <v>3000000</v>
      </c>
      <c r="G42" s="175" t="s">
        <v>36</v>
      </c>
      <c r="H42" s="310">
        <v>0.1</v>
      </c>
    </row>
    <row r="43" spans="2:8" x14ac:dyDescent="0.25">
      <c r="B43" s="19"/>
      <c r="C43" s="13"/>
      <c r="D43" s="13"/>
      <c r="E43" s="139"/>
      <c r="F43" s="13">
        <f>+F42*H42</f>
        <v>300000</v>
      </c>
      <c r="G43" s="13"/>
      <c r="H43" s="307"/>
    </row>
    <row r="44" spans="2:8" x14ac:dyDescent="0.25">
      <c r="B44" s="23"/>
      <c r="C44" s="43"/>
      <c r="D44" s="43"/>
      <c r="E44" s="137"/>
      <c r="F44" s="43"/>
      <c r="G44" s="43"/>
      <c r="H44" s="311"/>
    </row>
    <row r="45" spans="2:8" x14ac:dyDescent="0.25">
      <c r="B45" s="19" t="s">
        <v>250</v>
      </c>
      <c r="C45" s="13"/>
      <c r="D45" s="13" t="s">
        <v>248</v>
      </c>
      <c r="E45" s="139" t="s">
        <v>24</v>
      </c>
      <c r="F45" s="13">
        <f>+F43</f>
        <v>300000</v>
      </c>
      <c r="G45" s="13" t="s">
        <v>36</v>
      </c>
      <c r="H45" s="307">
        <v>0.01</v>
      </c>
    </row>
    <row r="46" spans="2:8" x14ac:dyDescent="0.25">
      <c r="B46" s="19"/>
      <c r="C46" s="13"/>
      <c r="D46" s="13"/>
      <c r="E46" s="13"/>
      <c r="F46" s="14">
        <f>+F45*H45</f>
        <v>3000</v>
      </c>
      <c r="G46" s="13"/>
      <c r="H46" s="308"/>
    </row>
    <row r="47" spans="2:8" x14ac:dyDescent="0.25">
      <c r="B47" s="19"/>
      <c r="C47" s="13"/>
      <c r="D47" s="13"/>
      <c r="E47" s="13"/>
      <c r="F47" s="13"/>
      <c r="G47" s="13"/>
      <c r="H47" s="308"/>
    </row>
    <row r="48" spans="2:8" x14ac:dyDescent="0.25">
      <c r="B48" s="31" t="s">
        <v>415</v>
      </c>
      <c r="C48" s="299"/>
      <c r="D48" s="312"/>
      <c r="E48" s="299"/>
      <c r="F48" s="299"/>
      <c r="G48" s="299"/>
      <c r="H48" s="313"/>
    </row>
  </sheetData>
  <sheetProtection algorithmName="SHA-512" hashValue="85TY2kNtr731GiSwwK0kcincCsU4rTxcpS6LZYxRrttmK+B5YWrTMfg4b3X2KRRsPCmsMJiAQYueTyJTSh/SoQ==" saltValue="uvmN2E0PP6JfWdeBV5fWzg==" spinCount="100000" sheet="1" objects="1" scenarios="1"/>
  <mergeCells count="1">
    <mergeCell ref="B1:N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J32"/>
  <sheetViews>
    <sheetView topLeftCell="A13" zoomScaleNormal="100" workbookViewId="0">
      <selection activeCell="L30" sqref="L30"/>
    </sheetView>
  </sheetViews>
  <sheetFormatPr baseColWidth="10" defaultColWidth="11.44140625" defaultRowHeight="13.8" x14ac:dyDescent="0.25"/>
  <cols>
    <col min="1" max="1" width="23.6640625" style="6" customWidth="1"/>
    <col min="2" max="2" width="4.109375" style="6" customWidth="1"/>
    <col min="3" max="3" width="16.109375" style="6" customWidth="1"/>
    <col min="4" max="4" width="14.6640625" style="6" bestFit="1" customWidth="1"/>
    <col min="5" max="8" width="11.5546875" style="6" bestFit="1" customWidth="1"/>
    <col min="9" max="9" width="13" style="6" bestFit="1" customWidth="1"/>
    <col min="10" max="10" width="14.44140625" style="6" customWidth="1"/>
    <col min="11" max="12" width="12.33203125" style="6" bestFit="1" customWidth="1"/>
    <col min="13" max="16384" width="11.44140625" style="6"/>
  </cols>
  <sheetData>
    <row r="1" spans="2:10" ht="19.95" customHeight="1" x14ac:dyDescent="0.25">
      <c r="C1" s="583" t="s">
        <v>439</v>
      </c>
      <c r="D1" s="583"/>
      <c r="E1" s="583"/>
      <c r="F1" s="583"/>
      <c r="G1" s="583"/>
      <c r="H1" s="583"/>
      <c r="I1" s="583"/>
      <c r="J1" s="583"/>
    </row>
    <row r="3" spans="2:10" x14ac:dyDescent="0.25">
      <c r="B3" s="11" t="s">
        <v>105</v>
      </c>
      <c r="C3" s="184" t="s">
        <v>121</v>
      </c>
    </row>
    <row r="4" spans="2:10" x14ac:dyDescent="0.25">
      <c r="C4" s="36"/>
      <c r="D4" s="28" t="s">
        <v>34</v>
      </c>
      <c r="E4" s="28" t="s">
        <v>39</v>
      </c>
      <c r="F4" s="28" t="s">
        <v>40</v>
      </c>
      <c r="G4" s="28" t="s">
        <v>41</v>
      </c>
      <c r="H4" s="28" t="s">
        <v>42</v>
      </c>
      <c r="I4" s="29" t="s">
        <v>43</v>
      </c>
    </row>
    <row r="5" spans="2:10" x14ac:dyDescent="0.25">
      <c r="C5" s="19" t="s">
        <v>251</v>
      </c>
      <c r="D5" s="13">
        <v>-5000000</v>
      </c>
      <c r="E5" s="13">
        <v>0</v>
      </c>
      <c r="F5" s="13">
        <v>0</v>
      </c>
      <c r="G5" s="13">
        <v>0</v>
      </c>
      <c r="H5" s="13">
        <v>0</v>
      </c>
      <c r="I5" s="20">
        <v>-8000000</v>
      </c>
    </row>
    <row r="6" spans="2:10" x14ac:dyDescent="0.25">
      <c r="C6" s="19" t="s">
        <v>252</v>
      </c>
      <c r="D6" s="13">
        <v>-8000000</v>
      </c>
      <c r="E6" s="13">
        <v>0</v>
      </c>
      <c r="F6" s="13">
        <v>0</v>
      </c>
      <c r="G6" s="13">
        <v>0</v>
      </c>
      <c r="H6" s="13">
        <v>0</v>
      </c>
      <c r="I6" s="20">
        <v>0</v>
      </c>
    </row>
    <row r="7" spans="2:10" x14ac:dyDescent="0.25">
      <c r="C7" s="19" t="s">
        <v>253</v>
      </c>
      <c r="D7" s="13">
        <f t="shared" ref="D7:I7" si="0">+D6-D5</f>
        <v>-3000000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20">
        <f t="shared" si="0"/>
        <v>8000000</v>
      </c>
    </row>
    <row r="8" spans="2:10" x14ac:dyDescent="0.25">
      <c r="C8" s="31" t="s">
        <v>382</v>
      </c>
      <c r="D8" s="298">
        <f>IRR(D7:I7)</f>
        <v>0.21672868378641108</v>
      </c>
      <c r="E8" s="32"/>
      <c r="F8" s="299"/>
      <c r="G8" s="299"/>
      <c r="H8" s="299"/>
      <c r="I8" s="300"/>
    </row>
    <row r="9" spans="2:10" x14ac:dyDescent="0.25">
      <c r="C9" s="7"/>
      <c r="D9" s="15"/>
      <c r="E9" s="7"/>
    </row>
    <row r="10" spans="2:10" x14ac:dyDescent="0.25">
      <c r="C10" s="301" t="s">
        <v>122</v>
      </c>
    </row>
    <row r="11" spans="2:10" x14ac:dyDescent="0.25">
      <c r="C11" s="168" t="s">
        <v>31</v>
      </c>
      <c r="D11" s="302">
        <v>0.21672868378360316</v>
      </c>
      <c r="E11" s="7"/>
    </row>
    <row r="12" spans="2:10" x14ac:dyDescent="0.25">
      <c r="C12" s="168" t="s">
        <v>356</v>
      </c>
      <c r="D12" s="122">
        <f>+D5+NPV(D11,E5:I5)</f>
        <v>-8000000.0000346228</v>
      </c>
      <c r="E12" s="7"/>
    </row>
    <row r="14" spans="2:10" x14ac:dyDescent="0.25">
      <c r="B14" s="11" t="s">
        <v>106</v>
      </c>
      <c r="C14" s="249" t="s">
        <v>254</v>
      </c>
    </row>
    <row r="15" spans="2:10" x14ac:dyDescent="0.25">
      <c r="B15" s="11"/>
    </row>
    <row r="16" spans="2:10" x14ac:dyDescent="0.25">
      <c r="B16" s="11" t="s">
        <v>107</v>
      </c>
      <c r="C16" s="35"/>
      <c r="D16" s="28" t="s">
        <v>34</v>
      </c>
      <c r="E16" s="28" t="s">
        <v>39</v>
      </c>
      <c r="F16" s="28" t="s">
        <v>40</v>
      </c>
      <c r="G16" s="28" t="s">
        <v>41</v>
      </c>
      <c r="H16" s="28" t="s">
        <v>42</v>
      </c>
      <c r="I16" s="28" t="s">
        <v>43</v>
      </c>
      <c r="J16" s="29" t="s">
        <v>44</v>
      </c>
    </row>
    <row r="17" spans="2:10" x14ac:dyDescent="0.25">
      <c r="C17" s="19" t="s">
        <v>251</v>
      </c>
      <c r="D17" s="13">
        <v>-5000000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20">
        <v>-8000000</v>
      </c>
    </row>
    <row r="18" spans="2:10" x14ac:dyDescent="0.25">
      <c r="C18" s="23" t="s">
        <v>252</v>
      </c>
      <c r="D18" s="43">
        <v>-8000000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122">
        <v>0</v>
      </c>
    </row>
    <row r="19" spans="2:10" ht="5.4" customHeight="1" x14ac:dyDescent="0.25"/>
    <row r="20" spans="2:10" x14ac:dyDescent="0.25">
      <c r="C20" s="34" t="s">
        <v>253</v>
      </c>
      <c r="D20" s="199">
        <f>+D18-D17</f>
        <v>-3000000</v>
      </c>
      <c r="E20" s="199">
        <f t="shared" ref="E20:J20" si="1">+E18-E17</f>
        <v>0</v>
      </c>
      <c r="F20" s="199">
        <f t="shared" si="1"/>
        <v>0</v>
      </c>
      <c r="G20" s="199">
        <f t="shared" si="1"/>
        <v>0</v>
      </c>
      <c r="H20" s="199">
        <f t="shared" si="1"/>
        <v>0</v>
      </c>
      <c r="I20" s="199">
        <f t="shared" si="1"/>
        <v>0</v>
      </c>
      <c r="J20" s="201">
        <f t="shared" si="1"/>
        <v>8000000</v>
      </c>
    </row>
    <row r="21" spans="2:10" x14ac:dyDescent="0.25">
      <c r="C21" s="31" t="s">
        <v>382</v>
      </c>
      <c r="D21" s="298">
        <f>IRR(D20:J20)</f>
        <v>0.17759184300048103</v>
      </c>
      <c r="E21" s="32"/>
      <c r="F21" s="299"/>
      <c r="G21" s="299"/>
      <c r="H21" s="299"/>
      <c r="I21" s="299"/>
      <c r="J21" s="300"/>
    </row>
    <row r="22" spans="2:10" x14ac:dyDescent="0.25">
      <c r="C22" s="81"/>
      <c r="D22" s="179"/>
      <c r="E22" s="304" t="s">
        <v>256</v>
      </c>
      <c r="F22" s="304"/>
      <c r="G22" s="304"/>
      <c r="H22" s="179"/>
      <c r="I22" s="179"/>
      <c r="J22" s="180"/>
    </row>
    <row r="24" spans="2:10" x14ac:dyDescent="0.25">
      <c r="B24" s="11" t="s">
        <v>111</v>
      </c>
      <c r="C24" s="249" t="s">
        <v>254</v>
      </c>
    </row>
    <row r="26" spans="2:10" x14ac:dyDescent="0.25">
      <c r="B26" s="11" t="s">
        <v>255</v>
      </c>
      <c r="C26" s="36"/>
      <c r="D26" s="28" t="s">
        <v>34</v>
      </c>
      <c r="E26" s="28" t="s">
        <v>39</v>
      </c>
      <c r="F26" s="28" t="s">
        <v>40</v>
      </c>
      <c r="G26" s="28" t="s">
        <v>41</v>
      </c>
      <c r="H26" s="28" t="s">
        <v>42</v>
      </c>
      <c r="I26" s="29" t="s">
        <v>43</v>
      </c>
    </row>
    <row r="27" spans="2:10" x14ac:dyDescent="0.25">
      <c r="C27" s="19" t="s">
        <v>251</v>
      </c>
      <c r="D27" s="13">
        <v>-5000000</v>
      </c>
      <c r="E27" s="13">
        <v>0</v>
      </c>
      <c r="F27" s="13">
        <v>0</v>
      </c>
      <c r="G27" s="13">
        <v>0</v>
      </c>
      <c r="H27" s="13">
        <v>0</v>
      </c>
      <c r="I27" s="20">
        <f>-8000000+1000000</f>
        <v>-7000000</v>
      </c>
    </row>
    <row r="28" spans="2:10" x14ac:dyDescent="0.25">
      <c r="C28" s="23" t="s">
        <v>252</v>
      </c>
      <c r="D28" s="43">
        <v>-8000000</v>
      </c>
      <c r="E28" s="43">
        <v>0</v>
      </c>
      <c r="F28" s="43">
        <v>0</v>
      </c>
      <c r="G28" s="43">
        <v>0</v>
      </c>
      <c r="H28" s="43">
        <v>0</v>
      </c>
      <c r="I28" s="122">
        <v>0</v>
      </c>
    </row>
    <row r="29" spans="2:10" ht="7.2" customHeight="1" x14ac:dyDescent="0.25"/>
    <row r="30" spans="2:10" x14ac:dyDescent="0.25">
      <c r="C30" s="34" t="s">
        <v>253</v>
      </c>
      <c r="D30" s="199">
        <f>+D28-D27</f>
        <v>-3000000</v>
      </c>
      <c r="E30" s="199">
        <f t="shared" ref="E30:I30" si="2">+E28-E27</f>
        <v>0</v>
      </c>
      <c r="F30" s="199">
        <f t="shared" si="2"/>
        <v>0</v>
      </c>
      <c r="G30" s="199">
        <f t="shared" si="2"/>
        <v>0</v>
      </c>
      <c r="H30" s="199">
        <f t="shared" si="2"/>
        <v>0</v>
      </c>
      <c r="I30" s="199">
        <f t="shared" si="2"/>
        <v>7000000</v>
      </c>
      <c r="J30" s="201"/>
    </row>
    <row r="31" spans="2:10" x14ac:dyDescent="0.25">
      <c r="C31" s="31" t="s">
        <v>33</v>
      </c>
      <c r="D31" s="298">
        <f>IRR(D30:I30)</f>
        <v>0.18466445254224406</v>
      </c>
      <c r="E31" s="299"/>
      <c r="F31" s="299"/>
      <c r="G31" s="299"/>
      <c r="H31" s="299"/>
      <c r="I31" s="299"/>
      <c r="J31" s="300"/>
    </row>
    <row r="32" spans="2:10" x14ac:dyDescent="0.25">
      <c r="C32" s="81"/>
      <c r="D32" s="179"/>
      <c r="E32" s="304" t="s">
        <v>256</v>
      </c>
      <c r="F32" s="304"/>
      <c r="G32" s="304"/>
      <c r="H32" s="179"/>
      <c r="I32" s="179"/>
      <c r="J32" s="180"/>
    </row>
  </sheetData>
  <sheetProtection algorithmName="SHA-512" hashValue="Ds30iDcmRn+6mCcx7j5NN+pCuB7rDeVbPUC6W8nvd+Z7jRmcWMu9TBGoI0ZYhMBzsG2w1AJiMiIxW7j4/9dJaQ==" saltValue="oycn91n+jlHkevXxLdoqSw==" spinCount="100000" sheet="1" objects="1" scenarios="1"/>
  <mergeCells count="1">
    <mergeCell ref="C1:J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82"/>
  <sheetViews>
    <sheetView zoomScaleNormal="100" workbookViewId="0">
      <selection activeCell="L12" sqref="L12"/>
    </sheetView>
  </sheetViews>
  <sheetFormatPr baseColWidth="10" defaultColWidth="11.44140625" defaultRowHeight="13.8" x14ac:dyDescent="0.25"/>
  <cols>
    <col min="1" max="1" width="19.33203125" style="6" customWidth="1"/>
    <col min="2" max="2" width="5.44140625" style="6" customWidth="1"/>
    <col min="3" max="3" width="26.6640625" style="6" customWidth="1"/>
    <col min="4" max="4" width="12.88671875" style="6" customWidth="1"/>
    <col min="5" max="6" width="12.6640625" style="6" customWidth="1"/>
    <col min="7" max="8" width="12.33203125" style="6" bestFit="1" customWidth="1"/>
    <col min="9" max="9" width="6.33203125" style="6" bestFit="1" customWidth="1"/>
    <col min="10" max="10" width="10.33203125" style="6" bestFit="1" customWidth="1"/>
    <col min="11" max="11" width="13" style="6" customWidth="1"/>
    <col min="12" max="16384" width="11.44140625" style="6"/>
  </cols>
  <sheetData>
    <row r="1" spans="3:19" ht="19.95" customHeight="1" x14ac:dyDescent="0.25">
      <c r="C1" s="583" t="s">
        <v>423</v>
      </c>
      <c r="D1" s="583"/>
      <c r="E1" s="583"/>
      <c r="F1" s="583"/>
      <c r="G1" s="583"/>
      <c r="H1" s="583"/>
      <c r="I1" s="583"/>
      <c r="J1" s="583"/>
    </row>
    <row r="2" spans="3:19" x14ac:dyDescent="0.25">
      <c r="C2" s="7"/>
    </row>
    <row r="3" spans="3:19" ht="14.4" customHeight="1" x14ac:dyDescent="0.25">
      <c r="C3" s="584" t="s">
        <v>275</v>
      </c>
      <c r="D3" s="591"/>
      <c r="E3" s="591"/>
      <c r="F3" s="591"/>
      <c r="G3" s="591"/>
      <c r="H3" s="591"/>
      <c r="I3" s="591"/>
      <c r="J3" s="585"/>
    </row>
    <row r="4" spans="3:19" x14ac:dyDescent="0.25">
      <c r="C4" s="586"/>
      <c r="D4" s="592"/>
      <c r="E4" s="592"/>
      <c r="F4" s="592"/>
      <c r="G4" s="592"/>
      <c r="H4" s="592"/>
      <c r="I4" s="592"/>
      <c r="J4" s="587"/>
    </row>
    <row r="5" spans="3:19" ht="27.6" x14ac:dyDescent="0.25">
      <c r="C5" s="63" t="s">
        <v>284</v>
      </c>
      <c r="D5" s="64" t="s">
        <v>405</v>
      </c>
      <c r="E5" s="65" t="s">
        <v>98</v>
      </c>
      <c r="F5" s="66" t="s">
        <v>99</v>
      </c>
      <c r="G5" s="65" t="s">
        <v>39</v>
      </c>
      <c r="H5" s="65" t="s">
        <v>40</v>
      </c>
      <c r="I5" s="65" t="s">
        <v>41</v>
      </c>
      <c r="J5" s="67" t="s">
        <v>42</v>
      </c>
    </row>
    <row r="6" spans="3:19" x14ac:dyDescent="0.25">
      <c r="C6" s="19" t="s">
        <v>285</v>
      </c>
      <c r="D6" s="13">
        <f>75*1</f>
        <v>75</v>
      </c>
      <c r="E6" s="45">
        <v>0.55000000000000004</v>
      </c>
      <c r="F6" s="13">
        <f>+D6*E6</f>
        <v>41.25</v>
      </c>
      <c r="G6" s="16">
        <v>4800</v>
      </c>
      <c r="H6" s="16">
        <f>+G6*(1+$D$9)</f>
        <v>5568</v>
      </c>
      <c r="I6" s="16">
        <f t="shared" ref="I6:J8" si="0">+H6*(1+$D$9)</f>
        <v>6458.8799999999992</v>
      </c>
      <c r="J6" s="21">
        <f t="shared" si="0"/>
        <v>7492.3007999999982</v>
      </c>
    </row>
    <row r="7" spans="3:19" x14ac:dyDescent="0.25">
      <c r="C7" s="19" t="s">
        <v>286</v>
      </c>
      <c r="D7" s="13">
        <f>325*1</f>
        <v>325</v>
      </c>
      <c r="E7" s="45">
        <v>0.4</v>
      </c>
      <c r="F7" s="13">
        <f>+D7*E7</f>
        <v>130</v>
      </c>
      <c r="G7" s="16">
        <v>2100</v>
      </c>
      <c r="H7" s="16">
        <f>+G7*(1+$D$9)</f>
        <v>2436</v>
      </c>
      <c r="I7" s="16">
        <f t="shared" si="0"/>
        <v>2825.7599999999998</v>
      </c>
      <c r="J7" s="21">
        <f t="shared" si="0"/>
        <v>3277.8815999999997</v>
      </c>
    </row>
    <row r="8" spans="3:19" x14ac:dyDescent="0.25">
      <c r="C8" s="19" t="s">
        <v>287</v>
      </c>
      <c r="D8" s="13">
        <f>850*1</f>
        <v>850</v>
      </c>
      <c r="E8" s="45">
        <v>0.35</v>
      </c>
      <c r="F8" s="13">
        <f>+D8*E8</f>
        <v>297.5</v>
      </c>
      <c r="G8" s="16">
        <v>1250</v>
      </c>
      <c r="H8" s="16">
        <f>+G8*(1+$D$9)</f>
        <v>1450</v>
      </c>
      <c r="I8" s="16">
        <f t="shared" si="0"/>
        <v>1681.9999999999998</v>
      </c>
      <c r="J8" s="21">
        <f t="shared" si="0"/>
        <v>1951.1199999999997</v>
      </c>
    </row>
    <row r="9" spans="3:19" x14ac:dyDescent="0.25">
      <c r="C9" s="19" t="s">
        <v>387</v>
      </c>
      <c r="D9" s="45">
        <v>0.16</v>
      </c>
      <c r="E9" s="45"/>
      <c r="F9" s="45"/>
      <c r="G9" s="45"/>
      <c r="H9" s="45"/>
      <c r="I9" s="13"/>
      <c r="J9" s="20"/>
    </row>
    <row r="10" spans="3:19" x14ac:dyDescent="0.25">
      <c r="C10" s="19" t="s">
        <v>288</v>
      </c>
      <c r="D10" s="13"/>
      <c r="E10" s="45"/>
      <c r="F10" s="45"/>
      <c r="G10" s="13">
        <v>350000</v>
      </c>
      <c r="H10" s="45"/>
      <c r="I10" s="13"/>
      <c r="J10" s="20"/>
    </row>
    <row r="11" spans="3:19" x14ac:dyDescent="0.25">
      <c r="C11" s="19" t="s">
        <v>18</v>
      </c>
      <c r="D11" s="13"/>
      <c r="E11" s="45"/>
      <c r="F11" s="45"/>
      <c r="G11" s="13">
        <v>250000</v>
      </c>
      <c r="H11" s="45"/>
      <c r="I11" s="13"/>
      <c r="J11" s="20"/>
    </row>
    <row r="12" spans="3:19" x14ac:dyDescent="0.25">
      <c r="C12" s="19" t="s">
        <v>402</v>
      </c>
      <c r="D12" s="45">
        <v>0.11</v>
      </c>
      <c r="E12" s="45"/>
      <c r="F12" s="45"/>
      <c r="G12" s="45"/>
      <c r="H12" s="45"/>
      <c r="I12" s="13"/>
      <c r="J12" s="20"/>
    </row>
    <row r="13" spans="3:19" x14ac:dyDescent="0.25">
      <c r="C13" s="19" t="s">
        <v>289</v>
      </c>
      <c r="D13" s="45">
        <v>0.2</v>
      </c>
      <c r="E13" s="13"/>
      <c r="F13" s="13"/>
      <c r="G13" s="13"/>
      <c r="H13" s="13"/>
      <c r="I13" s="13"/>
      <c r="J13" s="20"/>
      <c r="L13" s="46"/>
      <c r="M13" s="46"/>
      <c r="N13" s="46"/>
      <c r="O13" s="46"/>
      <c r="P13" s="46"/>
      <c r="Q13" s="46"/>
      <c r="R13" s="46"/>
      <c r="S13" s="46"/>
    </row>
    <row r="14" spans="3:19" x14ac:dyDescent="0.25">
      <c r="C14" s="19" t="s">
        <v>53</v>
      </c>
      <c r="D14" s="45">
        <v>0.4</v>
      </c>
      <c r="E14" s="13"/>
      <c r="F14" s="13"/>
      <c r="G14" s="13"/>
      <c r="H14" s="13"/>
      <c r="I14" s="13"/>
      <c r="J14" s="20"/>
      <c r="L14" s="46"/>
      <c r="M14" s="46"/>
      <c r="N14" s="46"/>
      <c r="O14" s="46"/>
      <c r="P14" s="46"/>
      <c r="Q14" s="46"/>
      <c r="R14" s="46"/>
      <c r="S14" s="46"/>
    </row>
    <row r="15" spans="3:19" x14ac:dyDescent="0.25">
      <c r="C15" s="19" t="s">
        <v>290</v>
      </c>
      <c r="D15" s="13">
        <f>275000+25000</f>
        <v>300000</v>
      </c>
      <c r="E15" s="13"/>
      <c r="F15" s="13"/>
      <c r="G15" s="13"/>
      <c r="H15" s="13"/>
      <c r="I15" s="13"/>
      <c r="J15" s="20"/>
      <c r="L15" s="46"/>
      <c r="M15" s="46"/>
      <c r="N15" s="46"/>
      <c r="O15" s="46"/>
      <c r="P15" s="46"/>
      <c r="Q15" s="46"/>
      <c r="R15" s="46"/>
      <c r="S15" s="46"/>
    </row>
    <row r="16" spans="3:19" x14ac:dyDescent="0.25">
      <c r="C16" s="19" t="s">
        <v>156</v>
      </c>
      <c r="D16" s="13"/>
      <c r="E16" s="13"/>
      <c r="F16" s="13"/>
      <c r="G16" s="13"/>
      <c r="H16" s="13"/>
      <c r="I16" s="13"/>
      <c r="J16" s="20">
        <v>50000</v>
      </c>
      <c r="L16" s="46"/>
      <c r="M16" s="46"/>
      <c r="N16" s="46"/>
      <c r="O16" s="46"/>
      <c r="P16" s="46"/>
      <c r="Q16" s="46"/>
      <c r="R16" s="46"/>
      <c r="S16" s="46"/>
    </row>
    <row r="17" spans="3:19" x14ac:dyDescent="0.25">
      <c r="C17" s="19" t="s">
        <v>168</v>
      </c>
      <c r="D17" s="13">
        <v>150000</v>
      </c>
      <c r="E17" s="13"/>
      <c r="F17" s="13"/>
      <c r="G17" s="13"/>
      <c r="H17" s="13"/>
      <c r="I17" s="13"/>
      <c r="J17" s="20"/>
      <c r="L17" s="46"/>
      <c r="M17" s="46"/>
      <c r="N17" s="46"/>
      <c r="O17" s="46"/>
      <c r="P17" s="46"/>
      <c r="Q17" s="46"/>
      <c r="R17" s="46"/>
      <c r="S17" s="46"/>
    </row>
    <row r="18" spans="3:19" x14ac:dyDescent="0.25">
      <c r="C18" s="19" t="s">
        <v>31</v>
      </c>
      <c r="D18" s="47">
        <f>15%*D23</f>
        <v>0.15</v>
      </c>
      <c r="E18" s="13"/>
      <c r="F18" s="13"/>
      <c r="G18" s="13"/>
      <c r="H18" s="13"/>
      <c r="I18" s="13"/>
      <c r="J18" s="20"/>
      <c r="L18" s="46"/>
      <c r="M18" s="46"/>
      <c r="N18" s="46"/>
      <c r="O18" s="46"/>
      <c r="P18" s="46"/>
      <c r="Q18" s="46"/>
      <c r="R18" s="46"/>
      <c r="S18" s="46"/>
    </row>
    <row r="19" spans="3:19" x14ac:dyDescent="0.25">
      <c r="C19" s="19" t="s">
        <v>94</v>
      </c>
      <c r="D19" s="47">
        <v>0.12</v>
      </c>
      <c r="E19" s="13"/>
      <c r="F19" s="13"/>
      <c r="G19" s="13"/>
      <c r="H19" s="13"/>
      <c r="I19" s="13"/>
      <c r="J19" s="20"/>
      <c r="L19" s="46"/>
      <c r="M19" s="46"/>
      <c r="N19" s="46"/>
      <c r="O19" s="46"/>
      <c r="P19" s="46"/>
      <c r="Q19" s="46"/>
      <c r="R19" s="46"/>
      <c r="S19" s="46"/>
    </row>
    <row r="20" spans="3:19" x14ac:dyDescent="0.25">
      <c r="C20" s="19" t="s">
        <v>291</v>
      </c>
      <c r="D20" s="45">
        <v>0.4</v>
      </c>
      <c r="E20" s="13"/>
      <c r="F20" s="13"/>
      <c r="G20" s="13"/>
      <c r="H20" s="13"/>
      <c r="I20" s="13"/>
      <c r="J20" s="20"/>
      <c r="L20" s="46"/>
      <c r="M20" s="46"/>
      <c r="N20" s="46"/>
      <c r="O20" s="46"/>
      <c r="P20" s="46"/>
      <c r="Q20" s="46"/>
      <c r="R20" s="46"/>
      <c r="S20" s="46"/>
    </row>
    <row r="21" spans="3:19" x14ac:dyDescent="0.25">
      <c r="C21" s="19" t="s">
        <v>95</v>
      </c>
      <c r="D21" s="13">
        <v>1</v>
      </c>
      <c r="E21" s="45"/>
      <c r="F21" s="13"/>
      <c r="G21" s="13"/>
      <c r="H21" s="16"/>
      <c r="I21" s="16"/>
      <c r="J21" s="21"/>
      <c r="K21" s="48"/>
      <c r="L21" s="46"/>
      <c r="M21" s="46"/>
      <c r="N21" s="46"/>
      <c r="O21" s="46"/>
      <c r="P21" s="46"/>
      <c r="Q21" s="46"/>
      <c r="R21" s="46"/>
      <c r="S21" s="46"/>
    </row>
    <row r="22" spans="3:19" x14ac:dyDescent="0.25">
      <c r="C22" s="19" t="s">
        <v>96</v>
      </c>
      <c r="D22" s="13">
        <v>1</v>
      </c>
      <c r="E22" s="45"/>
      <c r="F22" s="13"/>
      <c r="G22" s="13"/>
      <c r="H22" s="16"/>
      <c r="I22" s="16"/>
      <c r="J22" s="21"/>
      <c r="K22" s="48"/>
      <c r="L22" s="46"/>
      <c r="M22" s="46"/>
      <c r="N22" s="46"/>
      <c r="O22" s="46"/>
      <c r="P22" s="46"/>
      <c r="Q22" s="46"/>
      <c r="R22" s="46"/>
      <c r="S22" s="46"/>
    </row>
    <row r="23" spans="3:19" x14ac:dyDescent="0.25">
      <c r="C23" s="19" t="s">
        <v>97</v>
      </c>
      <c r="D23" s="13">
        <v>1</v>
      </c>
      <c r="E23" s="45"/>
      <c r="F23" s="13"/>
      <c r="G23" s="13"/>
      <c r="H23" s="16"/>
      <c r="I23" s="16"/>
      <c r="J23" s="21"/>
      <c r="K23" s="48"/>
      <c r="L23" s="46"/>
      <c r="M23" s="46"/>
      <c r="N23" s="46"/>
      <c r="O23" s="46"/>
      <c r="P23" s="46"/>
      <c r="Q23" s="46"/>
      <c r="R23" s="46"/>
      <c r="S23" s="46"/>
    </row>
    <row r="24" spans="3:19" x14ac:dyDescent="0.25">
      <c r="C24" s="23"/>
      <c r="D24" s="43"/>
      <c r="E24" s="60"/>
      <c r="F24" s="43"/>
      <c r="G24" s="43"/>
      <c r="H24" s="61"/>
      <c r="I24" s="61"/>
      <c r="J24" s="62"/>
      <c r="K24" s="48"/>
      <c r="L24" s="46"/>
      <c r="M24" s="46"/>
      <c r="N24" s="46"/>
      <c r="O24" s="46"/>
      <c r="P24" s="46"/>
      <c r="Q24" s="46"/>
      <c r="R24" s="46"/>
      <c r="S24" s="46"/>
    </row>
    <row r="25" spans="3:19" x14ac:dyDescent="0.25">
      <c r="L25" s="46"/>
      <c r="M25" s="46"/>
      <c r="N25" s="46"/>
      <c r="O25" s="46"/>
      <c r="P25" s="46"/>
      <c r="Q25" s="46"/>
      <c r="R25" s="46"/>
      <c r="S25" s="46"/>
    </row>
    <row r="26" spans="3:19" x14ac:dyDescent="0.25">
      <c r="C26" s="27" t="s">
        <v>171</v>
      </c>
      <c r="D26" s="28" t="s">
        <v>34</v>
      </c>
      <c r="E26" s="28" t="s">
        <v>39</v>
      </c>
      <c r="F26" s="28" t="s">
        <v>40</v>
      </c>
      <c r="G26" s="28" t="s">
        <v>41</v>
      </c>
      <c r="H26" s="29" t="s">
        <v>42</v>
      </c>
      <c r="L26" s="46"/>
      <c r="M26" s="46"/>
      <c r="N26" s="46"/>
      <c r="O26" s="46"/>
      <c r="P26" s="46"/>
      <c r="Q26" s="46"/>
      <c r="R26" s="46"/>
      <c r="S26" s="46"/>
    </row>
    <row r="27" spans="3:19" x14ac:dyDescent="0.25">
      <c r="C27" s="19" t="s">
        <v>15</v>
      </c>
      <c r="D27" s="13"/>
      <c r="E27" s="13">
        <f>(+G6*$F$6+G7*$F$7+G8*$F$8)*$D$21</f>
        <v>842875</v>
      </c>
      <c r="F27" s="13">
        <f>(+H6*$F$6+H7*$F$7+H8*$F$8)*$D$21</f>
        <v>977735</v>
      </c>
      <c r="G27" s="13">
        <f>(+I6*$F$6+I7*$F$7+I8*$F$8)*$D$21</f>
        <v>1134172.5999999999</v>
      </c>
      <c r="H27" s="20">
        <f>(+J6*$F$6+J7*$F$7+J8*$F$8)*$D$21</f>
        <v>1315640.2159999998</v>
      </c>
      <c r="L27" s="46"/>
      <c r="N27" s="46"/>
      <c r="O27" s="46"/>
      <c r="P27" s="46"/>
      <c r="Q27" s="46"/>
      <c r="R27" s="46"/>
      <c r="S27" s="46"/>
    </row>
    <row r="28" spans="3:19" x14ac:dyDescent="0.25">
      <c r="C28" s="19" t="s">
        <v>50</v>
      </c>
      <c r="D28" s="13"/>
      <c r="E28" s="13"/>
      <c r="F28" s="13"/>
      <c r="G28" s="13"/>
      <c r="H28" s="20">
        <f>+J16-(D15+E30+F30+G30+H30)</f>
        <v>-10000</v>
      </c>
      <c r="L28" s="46"/>
      <c r="M28" s="46"/>
      <c r="N28" s="46"/>
      <c r="O28" s="46"/>
      <c r="P28" s="46"/>
      <c r="Q28" s="46"/>
      <c r="R28" s="46"/>
      <c r="S28" s="46"/>
    </row>
    <row r="29" spans="3:19" x14ac:dyDescent="0.25">
      <c r="C29" s="19" t="s">
        <v>51</v>
      </c>
      <c r="D29" s="13"/>
      <c r="E29" s="13">
        <f>-($G$11+$G$10)*$D$22</f>
        <v>-600000</v>
      </c>
      <c r="F29" s="13">
        <f>+E29*(1+$D$12)</f>
        <v>-666000.00000000012</v>
      </c>
      <c r="G29" s="13">
        <f>+F29*(1+$D$12)</f>
        <v>-739260.00000000023</v>
      </c>
      <c r="H29" s="20">
        <f>+G29*(1+$D$12)</f>
        <v>-820578.60000000033</v>
      </c>
      <c r="L29" s="46"/>
      <c r="M29" s="46"/>
      <c r="N29" s="46"/>
      <c r="O29" s="46"/>
      <c r="P29" s="46"/>
      <c r="Q29" s="46"/>
      <c r="R29" s="46"/>
      <c r="S29" s="46"/>
    </row>
    <row r="30" spans="3:19" x14ac:dyDescent="0.25">
      <c r="C30" s="19" t="s">
        <v>52</v>
      </c>
      <c r="D30" s="13"/>
      <c r="E30" s="13">
        <f>-$D$15*$D$13</f>
        <v>-60000</v>
      </c>
      <c r="F30" s="13">
        <f>-$D$15*$D$13</f>
        <v>-60000</v>
      </c>
      <c r="G30" s="13">
        <f>-$D$15*$D$13</f>
        <v>-60000</v>
      </c>
      <c r="H30" s="20">
        <f>-$D$15*$D$13</f>
        <v>-60000</v>
      </c>
      <c r="L30" s="46"/>
      <c r="M30" s="46"/>
      <c r="N30" s="46"/>
      <c r="O30" s="46"/>
      <c r="P30" s="46"/>
      <c r="Q30" s="46"/>
      <c r="R30" s="46"/>
      <c r="S30" s="46"/>
    </row>
    <row r="31" spans="3:19" x14ac:dyDescent="0.25">
      <c r="C31" s="19" t="s">
        <v>17</v>
      </c>
      <c r="D31" s="13"/>
      <c r="E31" s="13">
        <f>-SUM(E27:E30)*$D$14</f>
        <v>-73150</v>
      </c>
      <c r="F31" s="13">
        <f t="shared" ref="F31:H31" si="1">-SUM(F27:F30)*$D$14</f>
        <v>-100693.99999999996</v>
      </c>
      <c r="G31" s="13">
        <f t="shared" si="1"/>
        <v>-133965.03999999986</v>
      </c>
      <c r="H31" s="20">
        <f t="shared" si="1"/>
        <v>-170024.64639999979</v>
      </c>
      <c r="L31" s="46"/>
      <c r="M31" s="46"/>
      <c r="N31" s="46"/>
      <c r="O31" s="46"/>
      <c r="P31" s="46"/>
      <c r="Q31" s="46"/>
      <c r="R31" s="46"/>
      <c r="S31" s="46"/>
    </row>
    <row r="32" spans="3:19" x14ac:dyDescent="0.25">
      <c r="C32" s="70" t="s">
        <v>28</v>
      </c>
      <c r="D32" s="71"/>
      <c r="E32" s="71">
        <f>SUM(E27:E31)</f>
        <v>109725</v>
      </c>
      <c r="F32" s="71">
        <f>SUM(F27:F31)</f>
        <v>151040.99999999994</v>
      </c>
      <c r="G32" s="71">
        <f>SUM(G27:G31)</f>
        <v>200947.55999999976</v>
      </c>
      <c r="H32" s="72">
        <f>SUM(H27:H31)</f>
        <v>255036.96959999966</v>
      </c>
      <c r="L32" s="46"/>
      <c r="M32" s="46"/>
      <c r="N32" s="46"/>
      <c r="O32" s="46"/>
      <c r="P32" s="46"/>
      <c r="Q32" s="46"/>
      <c r="R32" s="46"/>
      <c r="S32" s="46"/>
    </row>
    <row r="33" spans="2:19" x14ac:dyDescent="0.25">
      <c r="C33" s="50"/>
      <c r="D33" s="50"/>
      <c r="E33" s="50"/>
      <c r="F33" s="50"/>
      <c r="G33" s="50"/>
      <c r="H33" s="50"/>
      <c r="L33" s="46"/>
      <c r="M33" s="46"/>
      <c r="N33" s="46"/>
      <c r="O33" s="46"/>
      <c r="P33" s="46"/>
      <c r="Q33" s="46"/>
      <c r="R33" s="46"/>
      <c r="S33" s="46"/>
    </row>
    <row r="34" spans="2:19" x14ac:dyDescent="0.25">
      <c r="C34" s="27" t="s">
        <v>85</v>
      </c>
      <c r="D34" s="28" t="s">
        <v>34</v>
      </c>
      <c r="E34" s="28" t="s">
        <v>39</v>
      </c>
      <c r="F34" s="28" t="s">
        <v>40</v>
      </c>
      <c r="G34" s="28" t="s">
        <v>41</v>
      </c>
      <c r="H34" s="29" t="s">
        <v>42</v>
      </c>
      <c r="L34" s="46"/>
      <c r="M34" s="46"/>
      <c r="N34" s="46"/>
      <c r="O34" s="46"/>
      <c r="P34" s="46"/>
      <c r="Q34" s="46"/>
      <c r="R34" s="46"/>
      <c r="S34" s="46"/>
    </row>
    <row r="35" spans="2:19" x14ac:dyDescent="0.25">
      <c r="C35" s="19" t="s">
        <v>54</v>
      </c>
      <c r="D35" s="13"/>
      <c r="E35" s="13">
        <f>+E32</f>
        <v>109725</v>
      </c>
      <c r="F35" s="13">
        <f>+F32</f>
        <v>151040.99999999994</v>
      </c>
      <c r="G35" s="13">
        <f>+G32</f>
        <v>200947.55999999976</v>
      </c>
      <c r="H35" s="20">
        <f>+H32</f>
        <v>255036.96959999966</v>
      </c>
      <c r="L35" s="46"/>
      <c r="M35" s="46"/>
      <c r="O35" s="46"/>
      <c r="P35" s="46"/>
      <c r="Q35" s="46"/>
      <c r="R35" s="46"/>
      <c r="S35" s="46"/>
    </row>
    <row r="36" spans="2:19" x14ac:dyDescent="0.25">
      <c r="C36" s="19" t="s">
        <v>100</v>
      </c>
      <c r="D36" s="13"/>
      <c r="E36" s="13">
        <f>-E30</f>
        <v>60000</v>
      </c>
      <c r="F36" s="13">
        <f>-F30</f>
        <v>60000</v>
      </c>
      <c r="G36" s="13">
        <f>-G30</f>
        <v>60000</v>
      </c>
      <c r="H36" s="20">
        <f>-H30</f>
        <v>60000</v>
      </c>
      <c r="L36" s="46"/>
      <c r="M36" s="46"/>
      <c r="O36" s="46"/>
      <c r="P36" s="46"/>
      <c r="Q36" s="46"/>
      <c r="R36" s="46"/>
      <c r="S36" s="46"/>
    </row>
    <row r="37" spans="2:19" x14ac:dyDescent="0.25">
      <c r="C37" s="19" t="s">
        <v>101</v>
      </c>
      <c r="D37" s="13"/>
      <c r="E37" s="13"/>
      <c r="F37" s="13"/>
      <c r="G37" s="13"/>
      <c r="H37" s="20">
        <f>-D41</f>
        <v>150000</v>
      </c>
      <c r="L37" s="46"/>
      <c r="M37" s="46"/>
      <c r="Q37" s="46"/>
      <c r="R37" s="46"/>
      <c r="S37" s="46"/>
    </row>
    <row r="38" spans="2:19" x14ac:dyDescent="0.25">
      <c r="C38" s="19" t="s">
        <v>102</v>
      </c>
      <c r="D38" s="13"/>
      <c r="E38" s="13"/>
      <c r="F38" s="13"/>
      <c r="G38" s="13"/>
      <c r="H38" s="20">
        <f>+D15+E30+F30+G30+H30</f>
        <v>60000</v>
      </c>
      <c r="L38" s="46"/>
      <c r="M38" s="46"/>
      <c r="O38" s="46"/>
      <c r="P38" s="46"/>
      <c r="Q38" s="46"/>
      <c r="R38" s="46"/>
      <c r="S38" s="46"/>
    </row>
    <row r="39" spans="2:19" x14ac:dyDescent="0.25">
      <c r="C39" s="19" t="s">
        <v>19</v>
      </c>
      <c r="D39" s="13">
        <f>SUM(D40:D41)</f>
        <v>-450000</v>
      </c>
      <c r="E39" s="13"/>
      <c r="F39" s="13"/>
      <c r="G39" s="13"/>
      <c r="H39" s="20"/>
      <c r="L39" s="46"/>
      <c r="M39" s="46"/>
      <c r="O39" s="46"/>
      <c r="P39" s="46"/>
      <c r="Q39" s="46"/>
      <c r="R39" s="46"/>
      <c r="S39" s="46"/>
    </row>
    <row r="40" spans="2:19" x14ac:dyDescent="0.25">
      <c r="C40" s="19" t="s">
        <v>103</v>
      </c>
      <c r="D40" s="13">
        <f>-D15</f>
        <v>-300000</v>
      </c>
      <c r="E40" s="13"/>
      <c r="F40" s="13"/>
      <c r="G40" s="13"/>
      <c r="H40" s="20"/>
      <c r="L40" s="46"/>
      <c r="M40" s="46"/>
      <c r="P40" s="46"/>
      <c r="Q40" s="46"/>
      <c r="R40" s="46"/>
      <c r="S40" s="46"/>
    </row>
    <row r="41" spans="2:19" x14ac:dyDescent="0.25">
      <c r="C41" s="19" t="s">
        <v>104</v>
      </c>
      <c r="D41" s="13">
        <f>-D17</f>
        <v>-150000</v>
      </c>
      <c r="E41" s="13"/>
      <c r="F41" s="13"/>
      <c r="G41" s="13"/>
      <c r="H41" s="20"/>
      <c r="L41" s="46"/>
      <c r="M41" s="46"/>
      <c r="N41" s="46"/>
      <c r="O41" s="46"/>
      <c r="P41" s="46"/>
      <c r="Q41" s="46"/>
      <c r="R41" s="46"/>
      <c r="S41" s="46"/>
    </row>
    <row r="42" spans="2:19" x14ac:dyDescent="0.25">
      <c r="C42" s="70" t="s">
        <v>85</v>
      </c>
      <c r="D42" s="71">
        <f>SUM(D35:D39)</f>
        <v>-450000</v>
      </c>
      <c r="E42" s="71">
        <f t="shared" ref="E42:H42" si="2">SUM(E35:E39)</f>
        <v>169725</v>
      </c>
      <c r="F42" s="71">
        <f t="shared" si="2"/>
        <v>211040.99999999994</v>
      </c>
      <c r="G42" s="71">
        <f t="shared" si="2"/>
        <v>260947.55999999976</v>
      </c>
      <c r="H42" s="72">
        <f t="shared" si="2"/>
        <v>525036.96959999972</v>
      </c>
      <c r="L42" s="46"/>
      <c r="M42" s="46"/>
      <c r="N42" s="46"/>
      <c r="O42" s="46"/>
      <c r="P42" s="46"/>
      <c r="Q42" s="46"/>
      <c r="R42" s="46"/>
      <c r="S42" s="46"/>
    </row>
    <row r="43" spans="2:19" x14ac:dyDescent="0.25">
      <c r="L43" s="46"/>
      <c r="M43" s="46"/>
      <c r="N43" s="46"/>
      <c r="O43" s="46"/>
      <c r="P43" s="46"/>
      <c r="Q43" s="46"/>
      <c r="R43" s="46"/>
      <c r="S43" s="46"/>
    </row>
    <row r="44" spans="2:19" x14ac:dyDescent="0.25">
      <c r="B44" s="11" t="s">
        <v>105</v>
      </c>
      <c r="C44" s="73" t="s">
        <v>388</v>
      </c>
      <c r="D44" s="68">
        <f>-D42</f>
        <v>450000</v>
      </c>
      <c r="L44" s="46"/>
      <c r="M44" s="46"/>
      <c r="N44" s="46"/>
      <c r="O44" s="46"/>
      <c r="P44" s="46"/>
      <c r="Q44" s="46"/>
      <c r="R44" s="46"/>
      <c r="S44" s="46"/>
    </row>
    <row r="45" spans="2:19" x14ac:dyDescent="0.25">
      <c r="B45" s="11"/>
      <c r="D45" s="51"/>
      <c r="L45" s="46"/>
      <c r="M45" s="46"/>
      <c r="N45" s="46"/>
      <c r="O45" s="46"/>
      <c r="P45" s="46"/>
      <c r="Q45" s="46"/>
      <c r="R45" s="46"/>
      <c r="S45" s="46"/>
    </row>
    <row r="46" spans="2:19" x14ac:dyDescent="0.25">
      <c r="B46" s="11"/>
      <c r="C46" s="27"/>
      <c r="D46" s="28" t="s">
        <v>39</v>
      </c>
      <c r="E46" s="28" t="s">
        <v>40</v>
      </c>
      <c r="F46" s="28" t="s">
        <v>41</v>
      </c>
      <c r="G46" s="29" t="s">
        <v>42</v>
      </c>
      <c r="L46" s="46"/>
      <c r="M46" s="46"/>
      <c r="N46" s="46"/>
      <c r="O46" s="46"/>
      <c r="P46" s="46"/>
      <c r="Q46" s="46"/>
      <c r="R46" s="46"/>
      <c r="S46" s="46"/>
    </row>
    <row r="47" spans="2:19" x14ac:dyDescent="0.25">
      <c r="B47" s="11" t="s">
        <v>106</v>
      </c>
      <c r="C47" s="74" t="s">
        <v>85</v>
      </c>
      <c r="D47" s="75">
        <f>+E42</f>
        <v>169725</v>
      </c>
      <c r="E47" s="75">
        <f>+F42</f>
        <v>211040.99999999994</v>
      </c>
      <c r="F47" s="75">
        <f>+G42</f>
        <v>260947.55999999976</v>
      </c>
      <c r="G47" s="76">
        <f>+H42</f>
        <v>525036.96959999972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2:19" x14ac:dyDescent="0.25">
      <c r="B48" s="11"/>
      <c r="D48" s="50"/>
      <c r="E48" s="50"/>
      <c r="F48" s="50"/>
      <c r="G48" s="5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2:19" x14ac:dyDescent="0.25">
      <c r="B49" s="11" t="s">
        <v>107</v>
      </c>
      <c r="C49" s="77" t="s">
        <v>108</v>
      </c>
      <c r="D49" s="78">
        <f>1-D50</f>
        <v>0.2857142857142857</v>
      </c>
      <c r="L49" s="46"/>
      <c r="M49" s="46"/>
      <c r="N49" s="46"/>
      <c r="O49" s="46"/>
      <c r="P49" s="46"/>
      <c r="Q49" s="46"/>
      <c r="R49" s="46"/>
      <c r="S49" s="46"/>
    </row>
    <row r="50" spans="2:19" x14ac:dyDescent="0.25">
      <c r="C50" s="79" t="s">
        <v>109</v>
      </c>
      <c r="D50" s="80">
        <f>1/(1+D20)</f>
        <v>0.7142857142857143</v>
      </c>
      <c r="L50" s="46"/>
      <c r="M50" s="46"/>
      <c r="N50" s="46"/>
      <c r="O50" s="46"/>
      <c r="P50" s="46"/>
      <c r="Q50" s="46"/>
      <c r="R50" s="46"/>
      <c r="S50" s="46"/>
    </row>
    <row r="51" spans="2:19" x14ac:dyDescent="0.25">
      <c r="C51" s="79" t="s">
        <v>110</v>
      </c>
      <c r="D51" s="80">
        <f>+(D49*D19*(1-D14))+(D50*(D18))</f>
        <v>0.1277142857142857</v>
      </c>
      <c r="L51" s="46"/>
      <c r="M51" s="46"/>
      <c r="N51" s="46"/>
      <c r="O51" s="46"/>
      <c r="P51" s="46"/>
      <c r="Q51" s="46"/>
      <c r="R51" s="46"/>
      <c r="S51" s="46"/>
    </row>
    <row r="52" spans="2:19" x14ac:dyDescent="0.25">
      <c r="C52" s="81" t="s">
        <v>292</v>
      </c>
      <c r="D52" s="82">
        <f>+D42+NPV(+D51,E42:H42)</f>
        <v>373035.58116103045</v>
      </c>
      <c r="L52" s="46"/>
      <c r="M52" s="46"/>
      <c r="N52" s="46"/>
      <c r="O52" s="46"/>
      <c r="P52" s="46"/>
      <c r="Q52" s="46"/>
      <c r="R52" s="46"/>
      <c r="S52" s="46"/>
    </row>
    <row r="53" spans="2:19" x14ac:dyDescent="0.25">
      <c r="D53" s="51"/>
      <c r="L53" s="46"/>
      <c r="M53" s="46"/>
      <c r="N53" s="46"/>
      <c r="O53" s="46"/>
      <c r="P53" s="46"/>
      <c r="Q53" s="46"/>
      <c r="R53" s="46"/>
      <c r="S53" s="46"/>
    </row>
    <row r="54" spans="2:19" x14ac:dyDescent="0.25">
      <c r="B54" s="11" t="s">
        <v>111</v>
      </c>
      <c r="C54" s="588" t="s">
        <v>400</v>
      </c>
      <c r="D54" s="589"/>
      <c r="E54" s="589"/>
      <c r="F54" s="590"/>
      <c r="G54" s="52"/>
    </row>
    <row r="55" spans="2:19" x14ac:dyDescent="0.25">
      <c r="C55" s="86" t="s">
        <v>112</v>
      </c>
      <c r="D55" s="86" t="s">
        <v>113</v>
      </c>
      <c r="E55" s="89" t="s">
        <v>51</v>
      </c>
      <c r="F55" s="88" t="s">
        <v>31</v>
      </c>
    </row>
    <row r="56" spans="2:19" x14ac:dyDescent="0.25">
      <c r="C56" s="25">
        <v>1.3</v>
      </c>
      <c r="D56" s="55">
        <v>934731.4</v>
      </c>
      <c r="E56" s="55">
        <v>-1108.22</v>
      </c>
      <c r="F56" s="83">
        <v>310565.12</v>
      </c>
    </row>
    <row r="57" spans="2:19" x14ac:dyDescent="0.25">
      <c r="C57" s="25">
        <v>1.2</v>
      </c>
      <c r="D57" s="55">
        <v>747499.46</v>
      </c>
      <c r="E57" s="55">
        <v>123606.38</v>
      </c>
      <c r="F57" s="83">
        <v>330562.23</v>
      </c>
    </row>
    <row r="58" spans="2:19" x14ac:dyDescent="0.25">
      <c r="C58" s="25">
        <v>1.1000000000000001</v>
      </c>
      <c r="D58" s="55">
        <v>560267.52000000002</v>
      </c>
      <c r="E58" s="55">
        <v>248320.98</v>
      </c>
      <c r="F58" s="83">
        <v>351371.44</v>
      </c>
    </row>
    <row r="59" spans="2:19" x14ac:dyDescent="0.25">
      <c r="C59" s="25">
        <v>1</v>
      </c>
      <c r="D59" s="55">
        <v>373035.58</v>
      </c>
      <c r="E59" s="55">
        <v>373035.58</v>
      </c>
      <c r="F59" s="83">
        <v>373035.58</v>
      </c>
    </row>
    <row r="60" spans="2:19" x14ac:dyDescent="0.25">
      <c r="C60" s="25">
        <v>0.9</v>
      </c>
      <c r="D60" s="55">
        <v>185803.64</v>
      </c>
      <c r="E60" s="55">
        <v>497750.18</v>
      </c>
      <c r="F60" s="83">
        <v>395600.17</v>
      </c>
    </row>
    <row r="61" spans="2:19" x14ac:dyDescent="0.25">
      <c r="C61" s="25">
        <v>0.8</v>
      </c>
      <c r="D61" s="55">
        <v>-1428.3</v>
      </c>
      <c r="E61" s="55">
        <v>622464.78</v>
      </c>
      <c r="F61" s="83">
        <v>419113.72</v>
      </c>
    </row>
    <row r="62" spans="2:19" x14ac:dyDescent="0.25">
      <c r="C62" s="53">
        <v>0.7</v>
      </c>
      <c r="D62" s="84">
        <v>-188660.24</v>
      </c>
      <c r="E62" s="84">
        <v>747179.38</v>
      </c>
      <c r="F62" s="85">
        <v>443627.87</v>
      </c>
    </row>
    <row r="63" spans="2:19" x14ac:dyDescent="0.25">
      <c r="C63" s="54"/>
      <c r="D63" s="56"/>
      <c r="E63" s="56"/>
      <c r="F63" s="56"/>
    </row>
    <row r="64" spans="2:19" x14ac:dyDescent="0.25">
      <c r="C64" s="588" t="s">
        <v>299</v>
      </c>
      <c r="D64" s="589"/>
      <c r="E64" s="589"/>
      <c r="F64" s="590"/>
    </row>
    <row r="65" spans="2:6" x14ac:dyDescent="0.25">
      <c r="C65" s="86" t="s">
        <v>112</v>
      </c>
      <c r="D65" s="89" t="s">
        <v>113</v>
      </c>
      <c r="E65" s="89" t="s">
        <v>51</v>
      </c>
      <c r="F65" s="88" t="s">
        <v>31</v>
      </c>
    </row>
    <row r="66" spans="2:6" x14ac:dyDescent="0.25">
      <c r="C66" s="25">
        <v>1.3</v>
      </c>
      <c r="D66" s="55">
        <f>+(D56*100)/$D$59</f>
        <v>250.57432859353523</v>
      </c>
      <c r="E66" s="55">
        <f>+(E56*100)/$E$59</f>
        <v>-0.29708158133334089</v>
      </c>
      <c r="F66" s="83">
        <f>+(F56*100)/$F$59</f>
        <v>83.253484828444513</v>
      </c>
    </row>
    <row r="67" spans="2:6" x14ac:dyDescent="0.25">
      <c r="C67" s="25">
        <v>1.2</v>
      </c>
      <c r="D67" s="55">
        <f t="shared" ref="D67:D72" si="3">+(D57*100)/$D$59</f>
        <v>200.38288572902349</v>
      </c>
      <c r="E67" s="55">
        <f t="shared" ref="E67:E72" si="4">+(E57*100)/$E$59</f>
        <v>33.13527894577777</v>
      </c>
      <c r="F67" s="83">
        <f t="shared" ref="F67:F72" si="5">+(F57*100)/$F$59</f>
        <v>88.614128979332207</v>
      </c>
    </row>
    <row r="68" spans="2:6" x14ac:dyDescent="0.25">
      <c r="C68" s="25">
        <v>1.1000000000000001</v>
      </c>
      <c r="D68" s="55">
        <f t="shared" si="3"/>
        <v>150.19144286451174</v>
      </c>
      <c r="E68" s="55">
        <f t="shared" si="4"/>
        <v>66.567639472888885</v>
      </c>
      <c r="F68" s="83">
        <f t="shared" si="5"/>
        <v>94.192473543676442</v>
      </c>
    </row>
    <row r="69" spans="2:6" x14ac:dyDescent="0.25">
      <c r="C69" s="25">
        <v>1</v>
      </c>
      <c r="D69" s="55">
        <f t="shared" si="3"/>
        <v>100</v>
      </c>
      <c r="E69" s="55">
        <f t="shared" si="4"/>
        <v>100</v>
      </c>
      <c r="F69" s="83">
        <f t="shared" si="5"/>
        <v>100</v>
      </c>
    </row>
    <row r="70" spans="2:6" x14ac:dyDescent="0.25">
      <c r="C70" s="25">
        <v>0.9</v>
      </c>
      <c r="D70" s="55">
        <f t="shared" si="3"/>
        <v>49.80855713548825</v>
      </c>
      <c r="E70" s="55">
        <f t="shared" si="4"/>
        <v>133.43236052711111</v>
      </c>
      <c r="F70" s="83">
        <f t="shared" si="5"/>
        <v>106.04891093766444</v>
      </c>
    </row>
    <row r="71" spans="2:6" x14ac:dyDescent="0.25">
      <c r="C71" s="25">
        <v>0.8</v>
      </c>
      <c r="D71" s="55">
        <f t="shared" si="3"/>
        <v>-0.38288572902348883</v>
      </c>
      <c r="E71" s="55">
        <f t="shared" si="4"/>
        <v>166.86472105422223</v>
      </c>
      <c r="F71" s="83">
        <f t="shared" si="5"/>
        <v>112.35221047815331</v>
      </c>
    </row>
    <row r="72" spans="2:6" x14ac:dyDescent="0.25">
      <c r="C72" s="53">
        <v>0.7</v>
      </c>
      <c r="D72" s="84">
        <f t="shared" si="3"/>
        <v>-50.574328593535228</v>
      </c>
      <c r="E72" s="84">
        <f t="shared" si="4"/>
        <v>200.29708158133334</v>
      </c>
      <c r="F72" s="85">
        <f t="shared" si="5"/>
        <v>118.92374180500423</v>
      </c>
    </row>
    <row r="74" spans="2:6" x14ac:dyDescent="0.25">
      <c r="B74" s="11" t="s">
        <v>255</v>
      </c>
      <c r="C74" s="77" t="s">
        <v>113</v>
      </c>
      <c r="D74" s="92">
        <v>0.8</v>
      </c>
    </row>
    <row r="75" spans="2:6" x14ac:dyDescent="0.25">
      <c r="C75" s="79" t="s">
        <v>31</v>
      </c>
      <c r="D75" s="93">
        <v>0.2</v>
      </c>
    </row>
    <row r="76" spans="2:6" x14ac:dyDescent="0.25">
      <c r="C76" s="79" t="s">
        <v>480</v>
      </c>
      <c r="D76" s="189">
        <f>+D49*D19*(1-D14)+D50*D75</f>
        <v>0.16342857142857145</v>
      </c>
    </row>
    <row r="77" spans="2:6" x14ac:dyDescent="0.25">
      <c r="C77" s="91" t="s">
        <v>292</v>
      </c>
      <c r="D77" s="72">
        <v>-42140.98649448395</v>
      </c>
    </row>
    <row r="79" spans="2:6" x14ac:dyDescent="0.25">
      <c r="B79" s="11" t="s">
        <v>293</v>
      </c>
      <c r="C79" s="77" t="s">
        <v>51</v>
      </c>
      <c r="D79" s="92">
        <v>0.13</v>
      </c>
    </row>
    <row r="80" spans="2:6" x14ac:dyDescent="0.25">
      <c r="C80" s="79" t="s">
        <v>31</v>
      </c>
      <c r="D80" s="93">
        <v>0.2</v>
      </c>
    </row>
    <row r="81" spans="3:4" x14ac:dyDescent="0.25">
      <c r="C81" s="79" t="s">
        <v>480</v>
      </c>
      <c r="D81" s="189">
        <f>+D76</f>
        <v>0.16342857142857145</v>
      </c>
    </row>
    <row r="82" spans="3:4" x14ac:dyDescent="0.25">
      <c r="C82" s="91" t="s">
        <v>292</v>
      </c>
      <c r="D82" s="72">
        <v>273723.0166998934</v>
      </c>
    </row>
  </sheetData>
  <sheetProtection algorithmName="SHA-512" hashValue="LIK6Fc0r6/l4Y16KXPblc1TSQDtmCNtZ2PEmXTwTpv68Ad+n6gGCMTBBmxn2HYqxav31SHUpZ19ESyJjrpsqVw==" saltValue="BHKbmX2f4kprVa3QfCvIPQ==" spinCount="100000" sheet="1" objects="1" scenarios="1"/>
  <mergeCells count="4">
    <mergeCell ref="C54:F54"/>
    <mergeCell ref="C64:F64"/>
    <mergeCell ref="C1:J1"/>
    <mergeCell ref="C3:J4"/>
  </mergeCells>
  <pageMargins left="0.7" right="0.7" top="0.75" bottom="0.75" header="0.3" footer="0.3"/>
  <pageSetup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70"/>
  <sheetViews>
    <sheetView zoomScaleNormal="100" workbookViewId="0">
      <selection activeCell="D20" sqref="D20"/>
    </sheetView>
  </sheetViews>
  <sheetFormatPr baseColWidth="10" defaultColWidth="11.44140625" defaultRowHeight="13.8" x14ac:dyDescent="0.25"/>
  <cols>
    <col min="1" max="1" width="15.88671875" style="6" customWidth="1"/>
    <col min="2" max="2" width="11.44140625" style="6"/>
    <col min="3" max="3" width="28.6640625" style="6" customWidth="1"/>
    <col min="4" max="4" width="12.5546875" style="6" customWidth="1"/>
    <col min="5" max="5" width="11.44140625" style="6"/>
    <col min="6" max="6" width="15.33203125" style="6" customWidth="1"/>
    <col min="7" max="8" width="11.44140625" style="6"/>
    <col min="9" max="9" width="11.44140625" style="6" customWidth="1"/>
    <col min="10" max="10" width="3.88671875" style="6" customWidth="1"/>
    <col min="11" max="13" width="11.44140625" style="6"/>
    <col min="14" max="14" width="12.109375" style="6" customWidth="1"/>
    <col min="15" max="16384" width="11.44140625" style="6"/>
  </cols>
  <sheetData>
    <row r="1" spans="3:8" ht="19.95" customHeight="1" x14ac:dyDescent="0.25">
      <c r="C1" s="583" t="s">
        <v>424</v>
      </c>
      <c r="D1" s="583"/>
      <c r="E1" s="583"/>
      <c r="F1" s="583"/>
      <c r="G1" s="583"/>
      <c r="H1" s="583"/>
    </row>
    <row r="3" spans="3:8" ht="14.4" customHeight="1" x14ac:dyDescent="0.25">
      <c r="C3" s="584" t="s">
        <v>275</v>
      </c>
      <c r="D3" s="591"/>
      <c r="E3" s="591"/>
      <c r="F3" s="585"/>
    </row>
    <row r="4" spans="3:8" x14ac:dyDescent="0.25">
      <c r="C4" s="586"/>
      <c r="D4" s="592"/>
      <c r="E4" s="592"/>
      <c r="F4" s="587"/>
    </row>
    <row r="5" spans="3:8" x14ac:dyDescent="0.25">
      <c r="C5" s="101"/>
      <c r="D5" s="102" t="s">
        <v>34</v>
      </c>
      <c r="E5" s="102" t="s">
        <v>258</v>
      </c>
      <c r="F5" s="103" t="s">
        <v>42</v>
      </c>
    </row>
    <row r="6" spans="3:8" x14ac:dyDescent="0.25">
      <c r="C6" s="8" t="s">
        <v>56</v>
      </c>
      <c r="D6" s="58"/>
      <c r="E6" s="94">
        <f>120000*$D$19</f>
        <v>120000</v>
      </c>
      <c r="F6" s="59"/>
    </row>
    <row r="7" spans="3:8" x14ac:dyDescent="0.25">
      <c r="C7" s="8" t="s">
        <v>87</v>
      </c>
      <c r="D7" s="13"/>
      <c r="E7" s="13">
        <f>1*D20</f>
        <v>1</v>
      </c>
      <c r="F7" s="9"/>
    </row>
    <row r="8" spans="3:8" x14ac:dyDescent="0.25">
      <c r="C8" s="8" t="s">
        <v>406</v>
      </c>
      <c r="D8" s="13">
        <v>1000</v>
      </c>
      <c r="E8" s="13"/>
      <c r="F8" s="9">
        <v>1500</v>
      </c>
    </row>
    <row r="9" spans="3:8" x14ac:dyDescent="0.25">
      <c r="C9" s="8" t="s">
        <v>260</v>
      </c>
      <c r="D9" s="13"/>
      <c r="E9" s="13">
        <v>3500</v>
      </c>
      <c r="F9" s="9"/>
    </row>
    <row r="10" spans="3:8" x14ac:dyDescent="0.25">
      <c r="C10" s="8" t="s">
        <v>22</v>
      </c>
      <c r="D10" s="13"/>
      <c r="E10" s="13">
        <f>52*350</f>
        <v>18200</v>
      </c>
      <c r="F10" s="9"/>
    </row>
    <row r="11" spans="3:8" x14ac:dyDescent="0.25">
      <c r="C11" s="8" t="s">
        <v>261</v>
      </c>
      <c r="D11" s="13"/>
      <c r="E11" s="13">
        <v>0.25</v>
      </c>
      <c r="F11" s="9"/>
    </row>
    <row r="12" spans="3:8" x14ac:dyDescent="0.25">
      <c r="C12" s="8" t="s">
        <v>262</v>
      </c>
      <c r="D12" s="13"/>
      <c r="E12" s="13">
        <v>0.2</v>
      </c>
      <c r="F12" s="9"/>
    </row>
    <row r="13" spans="3:8" ht="15.6" x14ac:dyDescent="0.25">
      <c r="C13" s="8" t="s">
        <v>425</v>
      </c>
      <c r="D13" s="13"/>
      <c r="E13" s="13">
        <f>500*D21</f>
        <v>500</v>
      </c>
      <c r="F13" s="9"/>
    </row>
    <row r="14" spans="3:8" x14ac:dyDescent="0.25">
      <c r="C14" s="8" t="s">
        <v>259</v>
      </c>
      <c r="D14" s="13"/>
      <c r="E14" s="47">
        <v>0.16666666666666666</v>
      </c>
      <c r="F14" s="9"/>
    </row>
    <row r="15" spans="3:8" x14ac:dyDescent="0.25">
      <c r="C15" s="8" t="s">
        <v>19</v>
      </c>
      <c r="D15" s="13">
        <f>55000+5000</f>
        <v>60000</v>
      </c>
      <c r="E15" s="13"/>
      <c r="F15" s="9"/>
    </row>
    <row r="16" spans="3:8" x14ac:dyDescent="0.25">
      <c r="C16" s="8" t="s">
        <v>168</v>
      </c>
      <c r="D16" s="13">
        <v>3000</v>
      </c>
      <c r="E16" s="13"/>
      <c r="F16" s="9"/>
    </row>
    <row r="17" spans="2:8" x14ac:dyDescent="0.25">
      <c r="C17" s="8" t="s">
        <v>170</v>
      </c>
      <c r="D17" s="45">
        <v>0.3</v>
      </c>
      <c r="E17" s="13"/>
      <c r="F17" s="9"/>
    </row>
    <row r="18" spans="2:8" x14ac:dyDescent="0.25">
      <c r="C18" s="8" t="s">
        <v>31</v>
      </c>
      <c r="D18" s="47">
        <v>0.12</v>
      </c>
      <c r="E18" s="13"/>
      <c r="F18" s="9"/>
    </row>
    <row r="19" spans="2:8" x14ac:dyDescent="0.25">
      <c r="C19" s="8" t="s">
        <v>321</v>
      </c>
      <c r="D19" s="95">
        <v>1</v>
      </c>
      <c r="E19" s="13"/>
      <c r="F19" s="9"/>
    </row>
    <row r="20" spans="2:8" x14ac:dyDescent="0.25">
      <c r="C20" s="8" t="s">
        <v>309</v>
      </c>
      <c r="D20" s="95">
        <v>1</v>
      </c>
      <c r="E20" s="13"/>
      <c r="F20" s="9"/>
    </row>
    <row r="21" spans="2:8" x14ac:dyDescent="0.25">
      <c r="C21" s="8" t="s">
        <v>322</v>
      </c>
      <c r="D21" s="95">
        <v>1</v>
      </c>
      <c r="E21" s="13"/>
      <c r="F21" s="9"/>
    </row>
    <row r="22" spans="2:8" ht="14.4" thickBot="1" x14ac:dyDescent="0.3">
      <c r="C22" s="10"/>
      <c r="D22" s="96"/>
      <c r="E22" s="49"/>
      <c r="F22" s="97"/>
    </row>
    <row r="24" spans="2:8" x14ac:dyDescent="0.25">
      <c r="B24" s="11" t="s">
        <v>105</v>
      </c>
      <c r="C24" s="27" t="s">
        <v>171</v>
      </c>
      <c r="D24" s="28" t="s">
        <v>34</v>
      </c>
      <c r="E24" s="28" t="s">
        <v>39</v>
      </c>
      <c r="F24" s="28" t="s">
        <v>40</v>
      </c>
      <c r="G24" s="28" t="s">
        <v>41</v>
      </c>
      <c r="H24" s="29" t="s">
        <v>42</v>
      </c>
    </row>
    <row r="25" spans="2:8" x14ac:dyDescent="0.25">
      <c r="C25" s="19" t="s">
        <v>56</v>
      </c>
      <c r="D25" s="13"/>
      <c r="E25" s="13">
        <f>+$E$6*$E$7</f>
        <v>120000</v>
      </c>
      <c r="F25" s="13">
        <f t="shared" ref="F25:H25" si="0">+$E$6*$E$7</f>
        <v>120000</v>
      </c>
      <c r="G25" s="13">
        <f t="shared" si="0"/>
        <v>120000</v>
      </c>
      <c r="H25" s="20">
        <f t="shared" si="0"/>
        <v>120000</v>
      </c>
    </row>
    <row r="26" spans="2:8" x14ac:dyDescent="0.25">
      <c r="C26" s="19" t="s">
        <v>406</v>
      </c>
      <c r="D26" s="13">
        <f>-D8</f>
        <v>-1000</v>
      </c>
      <c r="E26" s="13"/>
      <c r="F26" s="13"/>
      <c r="G26" s="13"/>
      <c r="H26" s="20">
        <f>-F8</f>
        <v>-1500</v>
      </c>
    </row>
    <row r="27" spans="2:8" x14ac:dyDescent="0.25">
      <c r="C27" s="19" t="s">
        <v>131</v>
      </c>
      <c r="D27" s="13"/>
      <c r="E27" s="13">
        <f>-$E$11*$E$6</f>
        <v>-30000</v>
      </c>
      <c r="F27" s="13">
        <f t="shared" ref="F27:H27" si="1">-$E$11*$E$6</f>
        <v>-30000</v>
      </c>
      <c r="G27" s="13">
        <f t="shared" si="1"/>
        <v>-30000</v>
      </c>
      <c r="H27" s="20">
        <f t="shared" si="1"/>
        <v>-30000</v>
      </c>
    </row>
    <row r="28" spans="2:8" x14ac:dyDescent="0.25">
      <c r="C28" s="19" t="s">
        <v>263</v>
      </c>
      <c r="D28" s="13"/>
      <c r="E28" s="13">
        <f>-$E$12*$E$6</f>
        <v>-24000</v>
      </c>
      <c r="F28" s="13">
        <f t="shared" ref="F28:H28" si="2">-$E$12*$E$6</f>
        <v>-24000</v>
      </c>
      <c r="G28" s="13">
        <f t="shared" si="2"/>
        <v>-24000</v>
      </c>
      <c r="H28" s="20">
        <f t="shared" si="2"/>
        <v>-24000</v>
      </c>
    </row>
    <row r="29" spans="2:8" x14ac:dyDescent="0.25">
      <c r="C29" s="19" t="s">
        <v>264</v>
      </c>
      <c r="D29" s="13"/>
      <c r="E29" s="13">
        <f>-$E$9</f>
        <v>-3500</v>
      </c>
      <c r="F29" s="13">
        <f>-$E$9</f>
        <v>-3500</v>
      </c>
      <c r="G29" s="13">
        <f>-$E$9</f>
        <v>-3500</v>
      </c>
      <c r="H29" s="20">
        <f>-$E$9</f>
        <v>-3500</v>
      </c>
    </row>
    <row r="30" spans="2:8" x14ac:dyDescent="0.25">
      <c r="C30" s="19" t="s">
        <v>22</v>
      </c>
      <c r="D30" s="13"/>
      <c r="E30" s="13">
        <f>-$E$10</f>
        <v>-18200</v>
      </c>
      <c r="F30" s="13">
        <f>-$E$10</f>
        <v>-18200</v>
      </c>
      <c r="G30" s="13">
        <f>-$E$10</f>
        <v>-18200</v>
      </c>
      <c r="H30" s="20">
        <f>-$E$10</f>
        <v>-18200</v>
      </c>
    </row>
    <row r="31" spans="2:8" x14ac:dyDescent="0.25">
      <c r="C31" s="19" t="s">
        <v>265</v>
      </c>
      <c r="D31" s="13"/>
      <c r="E31" s="13">
        <f>-$E$13*2*12</f>
        <v>-12000</v>
      </c>
      <c r="F31" s="13">
        <f t="shared" ref="F31:H31" si="3">-$E$13*2*12</f>
        <v>-12000</v>
      </c>
      <c r="G31" s="13">
        <f t="shared" si="3"/>
        <v>-12000</v>
      </c>
      <c r="H31" s="20">
        <f t="shared" si="3"/>
        <v>-12000</v>
      </c>
    </row>
    <row r="32" spans="2:8" x14ac:dyDescent="0.25">
      <c r="C32" s="19" t="s">
        <v>52</v>
      </c>
      <c r="D32" s="13"/>
      <c r="E32" s="13">
        <f>-$E$14*$D$15</f>
        <v>-10000</v>
      </c>
      <c r="F32" s="13">
        <f t="shared" ref="F32:H32" si="4">-$E$14*$D$15</f>
        <v>-10000</v>
      </c>
      <c r="G32" s="13">
        <f t="shared" si="4"/>
        <v>-10000</v>
      </c>
      <c r="H32" s="20">
        <f t="shared" si="4"/>
        <v>-10000</v>
      </c>
    </row>
    <row r="33" spans="3:8" x14ac:dyDescent="0.25">
      <c r="C33" s="19" t="s">
        <v>78</v>
      </c>
      <c r="D33" s="13">
        <f>-SUM(D25:D32)*$D$17</f>
        <v>300</v>
      </c>
      <c r="E33" s="13">
        <f>-SUM(E25:E32)*$D$17</f>
        <v>-6690</v>
      </c>
      <c r="F33" s="13">
        <f>-SUM(F25:F32)*$D$17</f>
        <v>-6690</v>
      </c>
      <c r="G33" s="13">
        <f>-SUM(G25:G32)*$D$17</f>
        <v>-6690</v>
      </c>
      <c r="H33" s="20">
        <f>-SUM(H25:H32)*$D$17</f>
        <v>-6240</v>
      </c>
    </row>
    <row r="34" spans="3:8" x14ac:dyDescent="0.25">
      <c r="C34" s="31" t="s">
        <v>28</v>
      </c>
      <c r="D34" s="32">
        <f>SUM(D25:D33)</f>
        <v>-700</v>
      </c>
      <c r="E34" s="32">
        <f>SUM(E25:E33)</f>
        <v>15610</v>
      </c>
      <c r="F34" s="32">
        <f>SUM(F25:F33)</f>
        <v>15610</v>
      </c>
      <c r="G34" s="32">
        <f>SUM(G25:G33)</f>
        <v>15610</v>
      </c>
      <c r="H34" s="33">
        <f>SUM(H25:H33)</f>
        <v>14560</v>
      </c>
    </row>
    <row r="36" spans="3:8" x14ac:dyDescent="0.25">
      <c r="C36" s="27" t="s">
        <v>30</v>
      </c>
      <c r="D36" s="28" t="s">
        <v>34</v>
      </c>
      <c r="E36" s="28" t="s">
        <v>39</v>
      </c>
      <c r="F36" s="28" t="s">
        <v>40</v>
      </c>
      <c r="G36" s="28" t="s">
        <v>41</v>
      </c>
      <c r="H36" s="29" t="s">
        <v>42</v>
      </c>
    </row>
    <row r="37" spans="3:8" x14ac:dyDescent="0.25">
      <c r="C37" s="19" t="s">
        <v>54</v>
      </c>
      <c r="D37" s="13">
        <f>+D34</f>
        <v>-700</v>
      </c>
      <c r="E37" s="13">
        <f>+E34</f>
        <v>15610</v>
      </c>
      <c r="F37" s="13">
        <f t="shared" ref="F37:H37" si="5">+F34</f>
        <v>15610</v>
      </c>
      <c r="G37" s="13">
        <f t="shared" si="5"/>
        <v>15610</v>
      </c>
      <c r="H37" s="20">
        <f t="shared" si="5"/>
        <v>14560</v>
      </c>
    </row>
    <row r="38" spans="3:8" x14ac:dyDescent="0.25">
      <c r="C38" s="19" t="s">
        <v>55</v>
      </c>
      <c r="D38" s="13"/>
      <c r="E38" s="13">
        <f>-E32</f>
        <v>10000</v>
      </c>
      <c r="F38" s="13">
        <f t="shared" ref="F38:H38" si="6">-F32</f>
        <v>10000</v>
      </c>
      <c r="G38" s="13">
        <f t="shared" si="6"/>
        <v>10000</v>
      </c>
      <c r="H38" s="20">
        <f t="shared" si="6"/>
        <v>10000</v>
      </c>
    </row>
    <row r="39" spans="3:8" x14ac:dyDescent="0.25">
      <c r="C39" s="19" t="s">
        <v>178</v>
      </c>
      <c r="D39" s="13"/>
      <c r="E39" s="13"/>
      <c r="F39" s="13"/>
      <c r="G39" s="13"/>
      <c r="H39" s="20">
        <f>D15+E32+F32+G32+H32</f>
        <v>20000</v>
      </c>
    </row>
    <row r="40" spans="3:8" x14ac:dyDescent="0.25">
      <c r="C40" s="19" t="s">
        <v>266</v>
      </c>
      <c r="D40" s="13"/>
      <c r="E40" s="13"/>
      <c r="F40" s="13"/>
      <c r="G40" s="13"/>
      <c r="H40" s="20">
        <f>-SUM(D43:G43)</f>
        <v>3000</v>
      </c>
    </row>
    <row r="41" spans="3:8" x14ac:dyDescent="0.25">
      <c r="C41" s="19" t="s">
        <v>19</v>
      </c>
      <c r="D41" s="13">
        <f>SUM(D42:D43)</f>
        <v>-63000</v>
      </c>
      <c r="E41" s="13">
        <f t="shared" ref="E41:H41" si="7">SUM(E42:E43)</f>
        <v>0</v>
      </c>
      <c r="F41" s="13">
        <f t="shared" si="7"/>
        <v>0</v>
      </c>
      <c r="G41" s="13">
        <f t="shared" si="7"/>
        <v>0</v>
      </c>
      <c r="H41" s="20">
        <f t="shared" si="7"/>
        <v>0</v>
      </c>
    </row>
    <row r="42" spans="3:8" x14ac:dyDescent="0.25">
      <c r="C42" s="19" t="s">
        <v>103</v>
      </c>
      <c r="D42" s="13">
        <f>-D15</f>
        <v>-60000</v>
      </c>
      <c r="E42" s="13"/>
      <c r="F42" s="13"/>
      <c r="G42" s="13"/>
      <c r="H42" s="20"/>
    </row>
    <row r="43" spans="3:8" x14ac:dyDescent="0.25">
      <c r="C43" s="19" t="s">
        <v>104</v>
      </c>
      <c r="D43" s="13">
        <f>-D16</f>
        <v>-3000</v>
      </c>
      <c r="E43" s="13"/>
      <c r="F43" s="13"/>
      <c r="G43" s="13"/>
      <c r="H43" s="20"/>
    </row>
    <row r="44" spans="3:8" x14ac:dyDescent="0.25">
      <c r="C44" s="31" t="s">
        <v>85</v>
      </c>
      <c r="D44" s="32">
        <f>SUM(D37:D41)</f>
        <v>-63700</v>
      </c>
      <c r="E44" s="32">
        <f t="shared" ref="E44:H44" si="8">SUM(E37:E41)</f>
        <v>25610</v>
      </c>
      <c r="F44" s="32">
        <f t="shared" si="8"/>
        <v>25610</v>
      </c>
      <c r="G44" s="32">
        <f t="shared" si="8"/>
        <v>25610</v>
      </c>
      <c r="H44" s="33">
        <f t="shared" si="8"/>
        <v>47560</v>
      </c>
    </row>
    <row r="46" spans="3:8" x14ac:dyDescent="0.25">
      <c r="C46" s="73" t="s">
        <v>27</v>
      </c>
      <c r="D46" s="30">
        <f>+D44+NPV(D18,E44:H44)</f>
        <v>28036.138588088288</v>
      </c>
    </row>
    <row r="47" spans="3:8" ht="9" customHeight="1" x14ac:dyDescent="0.25"/>
    <row r="48" spans="3:8" ht="7.95" customHeight="1" x14ac:dyDescent="0.25"/>
    <row r="49" spans="2:7" ht="4.2" customHeight="1" x14ac:dyDescent="0.25"/>
    <row r="50" spans="2:7" x14ac:dyDescent="0.25">
      <c r="B50" s="11" t="s">
        <v>106</v>
      </c>
      <c r="C50" s="588" t="s">
        <v>401</v>
      </c>
      <c r="D50" s="589"/>
      <c r="E50" s="589"/>
      <c r="F50" s="590"/>
      <c r="G50" s="52"/>
    </row>
    <row r="51" spans="2:7" x14ac:dyDescent="0.25">
      <c r="C51" s="106"/>
      <c r="D51" s="105" t="s">
        <v>134</v>
      </c>
      <c r="E51" s="105" t="s">
        <v>88</v>
      </c>
      <c r="F51" s="105" t="s">
        <v>319</v>
      </c>
      <c r="G51" s="98"/>
    </row>
    <row r="52" spans="2:7" x14ac:dyDescent="0.25">
      <c r="C52" s="99">
        <v>1.1000000000000001</v>
      </c>
      <c r="D52" s="69">
        <v>53549.873099750082</v>
      </c>
      <c r="E52" s="69">
        <v>42068.69256950228</v>
      </c>
      <c r="F52" s="69">
        <v>25484.765136922098</v>
      </c>
      <c r="G52" s="13"/>
    </row>
    <row r="53" spans="2:7" x14ac:dyDescent="0.25">
      <c r="C53" s="99">
        <v>1.05</v>
      </c>
      <c r="D53" s="69">
        <v>40793.005843919163</v>
      </c>
      <c r="E53" s="69">
        <v>35052.415578795277</v>
      </c>
      <c r="F53" s="69">
        <v>26760.451862505186</v>
      </c>
      <c r="G53" s="13"/>
    </row>
    <row r="54" spans="2:7" x14ac:dyDescent="0.25">
      <c r="C54" s="99">
        <v>1</v>
      </c>
      <c r="D54" s="69">
        <v>28036.138588088288</v>
      </c>
      <c r="E54" s="69">
        <v>28036.138588088288</v>
      </c>
      <c r="F54" s="69">
        <v>28036.138588088288</v>
      </c>
      <c r="G54" s="13"/>
    </row>
    <row r="55" spans="2:7" x14ac:dyDescent="0.25">
      <c r="C55" s="99">
        <v>0.95</v>
      </c>
      <c r="D55" s="69">
        <v>15279.271332257369</v>
      </c>
      <c r="E55" s="69">
        <v>21019.86159738127</v>
      </c>
      <c r="F55" s="69">
        <v>29311.825313671361</v>
      </c>
      <c r="G55" s="13"/>
    </row>
    <row r="56" spans="2:7" x14ac:dyDescent="0.25">
      <c r="C56" s="99">
        <v>0.9</v>
      </c>
      <c r="D56" s="69">
        <v>2522.4040764264646</v>
      </c>
      <c r="E56" s="69">
        <v>14003.584606674282</v>
      </c>
      <c r="F56" s="69">
        <v>30587.512039254463</v>
      </c>
      <c r="G56" s="13"/>
    </row>
    <row r="59" spans="2:7" x14ac:dyDescent="0.25">
      <c r="C59" s="588" t="s">
        <v>323</v>
      </c>
      <c r="D59" s="589"/>
      <c r="E59" s="589"/>
      <c r="F59" s="590"/>
    </row>
    <row r="60" spans="2:7" x14ac:dyDescent="0.25">
      <c r="C60" s="106"/>
      <c r="D60" s="105" t="s">
        <v>134</v>
      </c>
      <c r="E60" s="105" t="s">
        <v>88</v>
      </c>
      <c r="F60" s="105" t="s">
        <v>319</v>
      </c>
    </row>
    <row r="61" spans="2:7" x14ac:dyDescent="0.25">
      <c r="C61" s="99">
        <v>1.1000000000000001</v>
      </c>
      <c r="D61" s="69">
        <f>+D52*100/$D$54</f>
        <v>191.00302608185072</v>
      </c>
      <c r="E61" s="69">
        <f>+E52*100/$E$54</f>
        <v>150.05166434501788</v>
      </c>
      <c r="F61" s="69">
        <f>+F52*100/$F$54</f>
        <v>90.899697391814897</v>
      </c>
    </row>
    <row r="62" spans="2:7" x14ac:dyDescent="0.25">
      <c r="C62" s="99" t="s">
        <v>320</v>
      </c>
      <c r="D62" s="69">
        <f t="shared" ref="D62:D65" si="9">+D53*100/$D$54</f>
        <v>145.50151304092526</v>
      </c>
      <c r="E62" s="69">
        <f t="shared" ref="E62:E65" si="10">+E53*100/$E$54</f>
        <v>125.02583217250893</v>
      </c>
      <c r="F62" s="69">
        <f t="shared" ref="F62:F65" si="11">+F53*100/$F$54</f>
        <v>95.44984869590742</v>
      </c>
    </row>
    <row r="63" spans="2:7" x14ac:dyDescent="0.25">
      <c r="C63" s="99">
        <v>1</v>
      </c>
      <c r="D63" s="69">
        <f t="shared" si="9"/>
        <v>100</v>
      </c>
      <c r="E63" s="69">
        <f t="shared" si="10"/>
        <v>100</v>
      </c>
      <c r="F63" s="69">
        <f t="shared" si="11"/>
        <v>100</v>
      </c>
    </row>
    <row r="64" spans="2:7" x14ac:dyDescent="0.25">
      <c r="C64" s="99">
        <v>0.95</v>
      </c>
      <c r="D64" s="69">
        <f t="shared" si="9"/>
        <v>54.498486959074569</v>
      </c>
      <c r="E64" s="69">
        <f t="shared" si="10"/>
        <v>74.974167827490973</v>
      </c>
      <c r="F64" s="69">
        <f t="shared" si="11"/>
        <v>104.55015130409248</v>
      </c>
    </row>
    <row r="65" spans="2:14" x14ac:dyDescent="0.25">
      <c r="C65" s="99">
        <v>0.9</v>
      </c>
      <c r="D65" s="69">
        <f t="shared" si="9"/>
        <v>8.9969739181491928</v>
      </c>
      <c r="E65" s="69">
        <f t="shared" si="10"/>
        <v>49.948335654982039</v>
      </c>
      <c r="F65" s="69">
        <f t="shared" si="11"/>
        <v>109.10030260818505</v>
      </c>
    </row>
    <row r="67" spans="2:14" x14ac:dyDescent="0.25">
      <c r="B67" s="11" t="s">
        <v>107</v>
      </c>
      <c r="C67" s="36"/>
      <c r="D67" s="40" t="s">
        <v>257</v>
      </c>
    </row>
    <row r="68" spans="2:14" x14ac:dyDescent="0.25">
      <c r="C68" s="108" t="s">
        <v>324</v>
      </c>
      <c r="D68" s="107">
        <v>96025</v>
      </c>
    </row>
    <row r="70" spans="2:14" x14ac:dyDescent="0.25">
      <c r="B70" s="11" t="s">
        <v>111</v>
      </c>
      <c r="C70" s="73" t="s">
        <v>325</v>
      </c>
      <c r="D70" s="109">
        <f>+D68/3000000</f>
        <v>3.2008333333333333E-2</v>
      </c>
      <c r="N70" s="100"/>
    </row>
  </sheetData>
  <sheetProtection algorithmName="SHA-512" hashValue="cfdzMkc2vlYMYVUxs6t1D1/m02/YoAL3X9Z9MBPYtOEW/IU8BOcChoVZZv0qg2qIx38IhMK8fbN6C8MBONwqRQ==" saltValue="NvJ3wTmahBpC9wxOK16FSA==" spinCount="100000" sheet="1" objects="1" scenarios="1"/>
  <mergeCells count="4">
    <mergeCell ref="C50:F50"/>
    <mergeCell ref="C59:F59"/>
    <mergeCell ref="C1:H1"/>
    <mergeCell ref="C3:F4"/>
  </mergeCells>
  <hyperlinks>
    <hyperlink ref="C46" r:id="rId1" display="VPN@12%" xr:uid="{00000000-0004-0000-0300-00000000000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83"/>
  <sheetViews>
    <sheetView topLeftCell="B1" zoomScaleNormal="100" workbookViewId="0">
      <selection activeCell="F84" sqref="F84"/>
    </sheetView>
  </sheetViews>
  <sheetFormatPr baseColWidth="10" defaultColWidth="11.44140625" defaultRowHeight="13.8" x14ac:dyDescent="0.25"/>
  <cols>
    <col min="1" max="1" width="18.33203125" style="6" customWidth="1"/>
    <col min="2" max="2" width="6.88671875" style="11" customWidth="1"/>
    <col min="3" max="3" width="28" style="6" customWidth="1"/>
    <col min="4" max="4" width="16.109375" style="6" customWidth="1"/>
    <col min="5" max="5" width="20.33203125" style="6" bestFit="1" customWidth="1"/>
    <col min="6" max="11" width="16.109375" style="6" bestFit="1" customWidth="1"/>
    <col min="12" max="13" width="13.33203125" style="6" bestFit="1" customWidth="1"/>
    <col min="14" max="16384" width="11.44140625" style="6"/>
  </cols>
  <sheetData>
    <row r="1" spans="3:11" ht="19.95" customHeight="1" x14ac:dyDescent="0.25">
      <c r="C1" s="583" t="s">
        <v>426</v>
      </c>
      <c r="D1" s="583"/>
      <c r="E1" s="583"/>
      <c r="F1" s="583"/>
      <c r="G1" s="583"/>
      <c r="H1" s="583"/>
      <c r="I1" s="583"/>
      <c r="J1" s="583"/>
      <c r="K1" s="583"/>
    </row>
    <row r="3" spans="3:11" x14ac:dyDescent="0.25">
      <c r="C3" s="116"/>
      <c r="D3" s="117"/>
      <c r="E3" s="117"/>
      <c r="F3" s="118"/>
    </row>
    <row r="4" spans="3:11" x14ac:dyDescent="0.25">
      <c r="C4" s="593" t="s">
        <v>275</v>
      </c>
      <c r="D4" s="594"/>
      <c r="E4" s="594"/>
      <c r="F4" s="595"/>
      <c r="G4" s="110"/>
      <c r="H4" s="110"/>
      <c r="I4" s="110"/>
      <c r="J4" s="110"/>
      <c r="K4" s="110"/>
    </row>
    <row r="5" spans="3:11" x14ac:dyDescent="0.25">
      <c r="C5" s="119"/>
      <c r="D5" s="113"/>
      <c r="E5" s="113"/>
      <c r="F5" s="120"/>
      <c r="G5" s="110"/>
      <c r="H5" s="110"/>
      <c r="I5" s="110"/>
      <c r="J5" s="110"/>
      <c r="K5" s="110"/>
    </row>
    <row r="6" spans="3:11" x14ac:dyDescent="0.25">
      <c r="C6" s="101"/>
      <c r="D6" s="87" t="s">
        <v>389</v>
      </c>
      <c r="E6" s="114"/>
      <c r="F6" s="115"/>
    </row>
    <row r="7" spans="3:11" x14ac:dyDescent="0.25">
      <c r="C7" s="121" t="s">
        <v>160</v>
      </c>
      <c r="D7" s="13"/>
      <c r="E7" s="13"/>
      <c r="F7" s="20"/>
    </row>
    <row r="8" spans="3:11" x14ac:dyDescent="0.25">
      <c r="C8" s="19" t="s">
        <v>161</v>
      </c>
      <c r="D8" s="13">
        <f>55000*D33</f>
        <v>55000</v>
      </c>
      <c r="E8" s="13"/>
      <c r="F8" s="20"/>
    </row>
    <row r="9" spans="3:11" x14ac:dyDescent="0.25">
      <c r="C9" s="19" t="s">
        <v>87</v>
      </c>
      <c r="D9" s="13">
        <f>700*D34</f>
        <v>700</v>
      </c>
      <c r="E9" s="13"/>
      <c r="F9" s="20"/>
    </row>
    <row r="10" spans="3:11" x14ac:dyDescent="0.25">
      <c r="C10" s="19" t="s">
        <v>131</v>
      </c>
      <c r="D10" s="13">
        <v>320</v>
      </c>
      <c r="E10" s="13"/>
      <c r="F10" s="20"/>
    </row>
    <row r="11" spans="3:11" x14ac:dyDescent="0.25">
      <c r="C11" s="121" t="s">
        <v>162</v>
      </c>
      <c r="D11" s="13"/>
      <c r="E11" s="13"/>
      <c r="F11" s="20"/>
    </row>
    <row r="12" spans="3:11" x14ac:dyDescent="0.25">
      <c r="C12" s="19" t="s">
        <v>163</v>
      </c>
      <c r="D12" s="13">
        <f>13000</f>
        <v>13000</v>
      </c>
      <c r="E12" s="13"/>
      <c r="F12" s="20"/>
    </row>
    <row r="13" spans="3:11" x14ac:dyDescent="0.25">
      <c r="C13" s="19" t="s">
        <v>87</v>
      </c>
      <c r="D13" s="13">
        <v>1100</v>
      </c>
      <c r="E13" s="13"/>
      <c r="F13" s="20"/>
    </row>
    <row r="14" spans="3:11" x14ac:dyDescent="0.25">
      <c r="C14" s="19" t="s">
        <v>131</v>
      </c>
      <c r="D14" s="13">
        <v>600</v>
      </c>
      <c r="E14" s="13"/>
      <c r="F14" s="20"/>
    </row>
    <row r="15" spans="3:11" x14ac:dyDescent="0.25">
      <c r="C15" s="121" t="s">
        <v>164</v>
      </c>
      <c r="D15" s="13"/>
      <c r="E15" s="13"/>
      <c r="F15" s="20"/>
    </row>
    <row r="16" spans="3:11" x14ac:dyDescent="0.25">
      <c r="C16" s="19" t="s">
        <v>165</v>
      </c>
      <c r="D16" s="13">
        <f>10000</f>
        <v>10000</v>
      </c>
      <c r="E16" s="13"/>
      <c r="F16" s="20"/>
    </row>
    <row r="17" spans="3:12" x14ac:dyDescent="0.25">
      <c r="C17" s="19" t="s">
        <v>87</v>
      </c>
      <c r="D17" s="13">
        <v>400</v>
      </c>
      <c r="E17" s="13"/>
      <c r="F17" s="20"/>
    </row>
    <row r="18" spans="3:12" x14ac:dyDescent="0.25">
      <c r="C18" s="19" t="s">
        <v>131</v>
      </c>
      <c r="D18" s="13">
        <v>180</v>
      </c>
      <c r="E18" s="13"/>
      <c r="F18" s="20"/>
    </row>
    <row r="19" spans="3:12" x14ac:dyDescent="0.25">
      <c r="C19" s="19" t="s">
        <v>132</v>
      </c>
      <c r="D19" s="13">
        <v>7500000</v>
      </c>
      <c r="E19" s="13"/>
      <c r="F19" s="20"/>
    </row>
    <row r="20" spans="3:12" x14ac:dyDescent="0.25">
      <c r="C20" s="19" t="s">
        <v>166</v>
      </c>
      <c r="D20" s="13">
        <v>18200000</v>
      </c>
      <c r="E20" s="58"/>
      <c r="F20" s="26"/>
      <c r="G20" s="58"/>
      <c r="H20" s="58"/>
      <c r="I20" s="58"/>
      <c r="J20" s="58"/>
      <c r="K20" s="58"/>
      <c r="L20" s="13"/>
    </row>
    <row r="21" spans="3:12" x14ac:dyDescent="0.25">
      <c r="C21" s="19" t="s">
        <v>167</v>
      </c>
      <c r="D21" s="13"/>
      <c r="E21" s="45"/>
      <c r="F21" s="22"/>
      <c r="G21" s="45"/>
      <c r="H21" s="45"/>
      <c r="I21" s="45"/>
      <c r="J21" s="45"/>
      <c r="K21" s="45"/>
      <c r="L21" s="13"/>
    </row>
    <row r="22" spans="3:12" x14ac:dyDescent="0.25">
      <c r="C22" s="19" t="s">
        <v>39</v>
      </c>
      <c r="D22" s="45">
        <v>0.25</v>
      </c>
      <c r="E22" s="13"/>
      <c r="F22" s="22"/>
      <c r="G22" s="45"/>
      <c r="H22" s="45"/>
      <c r="I22" s="45"/>
      <c r="J22" s="45"/>
      <c r="K22" s="45"/>
      <c r="L22" s="13"/>
    </row>
    <row r="23" spans="3:12" x14ac:dyDescent="0.25">
      <c r="C23" s="19" t="s">
        <v>40</v>
      </c>
      <c r="D23" s="45">
        <v>0.21428571428571427</v>
      </c>
      <c r="E23" s="13"/>
      <c r="F23" s="22"/>
      <c r="G23" s="57"/>
      <c r="H23" s="57"/>
      <c r="I23" s="57"/>
      <c r="J23" s="57"/>
      <c r="K23" s="57"/>
    </row>
    <row r="24" spans="3:12" x14ac:dyDescent="0.25">
      <c r="C24" s="19" t="s">
        <v>41</v>
      </c>
      <c r="D24" s="45">
        <v>0.17857142857142858</v>
      </c>
      <c r="E24" s="13"/>
      <c r="F24" s="22"/>
      <c r="G24" s="57"/>
      <c r="H24" s="57"/>
      <c r="I24" s="57"/>
      <c r="J24" s="57"/>
      <c r="K24" s="57"/>
    </row>
    <row r="25" spans="3:12" x14ac:dyDescent="0.25">
      <c r="C25" s="19" t="s">
        <v>42</v>
      </c>
      <c r="D25" s="45">
        <v>0.14285714285714285</v>
      </c>
      <c r="E25" s="13"/>
      <c r="F25" s="22"/>
      <c r="G25" s="57"/>
      <c r="H25" s="57"/>
      <c r="I25" s="57"/>
      <c r="J25" s="57"/>
      <c r="K25" s="57"/>
    </row>
    <row r="26" spans="3:12" x14ac:dyDescent="0.25">
      <c r="C26" s="19" t="s">
        <v>43</v>
      </c>
      <c r="D26" s="45">
        <v>0.10714285714285714</v>
      </c>
      <c r="E26" s="13"/>
      <c r="F26" s="22"/>
      <c r="G26" s="57"/>
      <c r="H26" s="57"/>
      <c r="I26" s="57"/>
      <c r="J26" s="57"/>
      <c r="K26" s="57"/>
    </row>
    <row r="27" spans="3:12" x14ac:dyDescent="0.25">
      <c r="C27" s="19" t="s">
        <v>44</v>
      </c>
      <c r="D27" s="45">
        <v>7.1428571428571425E-2</v>
      </c>
      <c r="E27" s="13"/>
      <c r="F27" s="22"/>
      <c r="G27" s="57"/>
      <c r="H27" s="57"/>
      <c r="I27" s="57"/>
      <c r="J27" s="57"/>
      <c r="K27" s="57"/>
    </row>
    <row r="28" spans="3:12" x14ac:dyDescent="0.25">
      <c r="C28" s="19" t="s">
        <v>45</v>
      </c>
      <c r="D28" s="45">
        <v>3.5714285714285712E-2</v>
      </c>
      <c r="E28" s="13"/>
      <c r="F28" s="22"/>
      <c r="G28" s="57"/>
      <c r="H28" s="57"/>
      <c r="I28" s="57"/>
      <c r="J28" s="57"/>
      <c r="K28" s="57"/>
    </row>
    <row r="29" spans="3:12" x14ac:dyDescent="0.25">
      <c r="C29" s="19" t="s">
        <v>168</v>
      </c>
      <c r="D29" s="45">
        <v>0.1</v>
      </c>
      <c r="E29" s="13" t="s">
        <v>169</v>
      </c>
      <c r="F29" s="20"/>
    </row>
    <row r="30" spans="3:12" x14ac:dyDescent="0.25">
      <c r="C30" s="19" t="s">
        <v>53</v>
      </c>
      <c r="D30" s="45">
        <v>0.4</v>
      </c>
      <c r="E30" s="13"/>
      <c r="F30" s="20"/>
    </row>
    <row r="31" spans="3:12" x14ac:dyDescent="0.25">
      <c r="C31" s="19" t="s">
        <v>31</v>
      </c>
      <c r="D31" s="45">
        <v>0.14000000000000001</v>
      </c>
      <c r="E31" s="13"/>
      <c r="F31" s="20"/>
    </row>
    <row r="32" spans="3:12" x14ac:dyDescent="0.25">
      <c r="C32" s="19" t="s">
        <v>308</v>
      </c>
      <c r="D32" s="13">
        <v>1</v>
      </c>
      <c r="E32" s="13"/>
      <c r="F32" s="20"/>
    </row>
    <row r="33" spans="3:11" x14ac:dyDescent="0.25">
      <c r="C33" s="19" t="s">
        <v>310</v>
      </c>
      <c r="D33" s="13">
        <v>1</v>
      </c>
      <c r="E33" s="13"/>
      <c r="F33" s="20"/>
    </row>
    <row r="34" spans="3:11" x14ac:dyDescent="0.25">
      <c r="C34" s="19" t="s">
        <v>393</v>
      </c>
      <c r="D34" s="13">
        <v>1</v>
      </c>
      <c r="E34" s="13"/>
      <c r="F34" s="20"/>
    </row>
    <row r="35" spans="3:11" x14ac:dyDescent="0.25">
      <c r="C35" s="23"/>
      <c r="D35" s="43"/>
      <c r="E35" s="43"/>
      <c r="F35" s="122"/>
    </row>
    <row r="37" spans="3:11" x14ac:dyDescent="0.25">
      <c r="C37" s="27" t="s">
        <v>171</v>
      </c>
      <c r="D37" s="28" t="s">
        <v>34</v>
      </c>
      <c r="E37" s="28" t="s">
        <v>39</v>
      </c>
      <c r="F37" s="28" t="s">
        <v>40</v>
      </c>
      <c r="G37" s="28" t="s">
        <v>41</v>
      </c>
      <c r="H37" s="28" t="s">
        <v>42</v>
      </c>
      <c r="I37" s="28" t="s">
        <v>43</v>
      </c>
      <c r="J37" s="28" t="s">
        <v>44</v>
      </c>
      <c r="K37" s="29" t="s">
        <v>45</v>
      </c>
    </row>
    <row r="38" spans="3:11" x14ac:dyDescent="0.25">
      <c r="C38" s="19" t="s">
        <v>390</v>
      </c>
      <c r="D38" s="13"/>
      <c r="E38" s="13">
        <f>+$D$8*$D$9*$D$32</f>
        <v>38500000</v>
      </c>
      <c r="F38" s="13">
        <f t="shared" ref="F38:K38" si="0">+$D$8*$D$9*$D$32</f>
        <v>38500000</v>
      </c>
      <c r="G38" s="13">
        <f t="shared" si="0"/>
        <v>38500000</v>
      </c>
      <c r="H38" s="13">
        <f t="shared" si="0"/>
        <v>38500000</v>
      </c>
      <c r="I38" s="13">
        <f t="shared" si="0"/>
        <v>38500000</v>
      </c>
      <c r="J38" s="13">
        <f t="shared" si="0"/>
        <v>38500000</v>
      </c>
      <c r="K38" s="20">
        <f t="shared" si="0"/>
        <v>38500000</v>
      </c>
    </row>
    <row r="39" spans="3:11" x14ac:dyDescent="0.25">
      <c r="C39" s="19" t="s">
        <v>162</v>
      </c>
      <c r="D39" s="13"/>
      <c r="E39" s="13">
        <f>-$D$12*$D$13*$D$32</f>
        <v>-14300000</v>
      </c>
      <c r="F39" s="13">
        <f t="shared" ref="F39:K39" si="1">-$D$12*$D$13*$D$32</f>
        <v>-14300000</v>
      </c>
      <c r="G39" s="13">
        <f t="shared" si="1"/>
        <v>-14300000</v>
      </c>
      <c r="H39" s="13">
        <f t="shared" si="1"/>
        <v>-14300000</v>
      </c>
      <c r="I39" s="13">
        <f t="shared" si="1"/>
        <v>-14300000</v>
      </c>
      <c r="J39" s="13">
        <f t="shared" si="1"/>
        <v>-14300000</v>
      </c>
      <c r="K39" s="20">
        <f t="shared" si="1"/>
        <v>-14300000</v>
      </c>
    </row>
    <row r="40" spans="3:11" x14ac:dyDescent="0.25">
      <c r="C40" s="19" t="s">
        <v>164</v>
      </c>
      <c r="D40" s="13"/>
      <c r="E40" s="13">
        <f>+$D$16*$D$17*$D$32</f>
        <v>4000000</v>
      </c>
      <c r="F40" s="13">
        <f t="shared" ref="F40:K40" si="2">+$D$16*$D$17*$D$32</f>
        <v>4000000</v>
      </c>
      <c r="G40" s="13">
        <f t="shared" si="2"/>
        <v>4000000</v>
      </c>
      <c r="H40" s="13">
        <f t="shared" si="2"/>
        <v>4000000</v>
      </c>
      <c r="I40" s="13">
        <f t="shared" si="2"/>
        <v>4000000</v>
      </c>
      <c r="J40" s="13">
        <f t="shared" si="2"/>
        <v>4000000</v>
      </c>
      <c r="K40" s="20">
        <f t="shared" si="2"/>
        <v>4000000</v>
      </c>
    </row>
    <row r="41" spans="3:11" x14ac:dyDescent="0.25">
      <c r="C41" s="125" t="s">
        <v>172</v>
      </c>
      <c r="D41" s="126"/>
      <c r="E41" s="126">
        <f>SUM(E38:E40)</f>
        <v>28200000</v>
      </c>
      <c r="F41" s="126">
        <f t="shared" ref="F41:K41" si="3">SUM(F38:F40)</f>
        <v>28200000</v>
      </c>
      <c r="G41" s="126">
        <f t="shared" si="3"/>
        <v>28200000</v>
      </c>
      <c r="H41" s="126">
        <f t="shared" si="3"/>
        <v>28200000</v>
      </c>
      <c r="I41" s="126">
        <f t="shared" si="3"/>
        <v>28200000</v>
      </c>
      <c r="J41" s="126">
        <f t="shared" si="3"/>
        <v>28200000</v>
      </c>
      <c r="K41" s="127">
        <f t="shared" si="3"/>
        <v>28200000</v>
      </c>
    </row>
    <row r="42" spans="3:11" x14ac:dyDescent="0.25">
      <c r="C42" s="19" t="s">
        <v>173</v>
      </c>
      <c r="D42" s="13"/>
      <c r="E42" s="13">
        <f>-$D$8*$D$10*$D$32</f>
        <v>-17600000</v>
      </c>
      <c r="F42" s="13">
        <f t="shared" ref="F42:K42" si="4">-$D$8*$D$10*$D$32</f>
        <v>-17600000</v>
      </c>
      <c r="G42" s="13">
        <f t="shared" si="4"/>
        <v>-17600000</v>
      </c>
      <c r="H42" s="13">
        <f t="shared" si="4"/>
        <v>-17600000</v>
      </c>
      <c r="I42" s="13">
        <f t="shared" si="4"/>
        <v>-17600000</v>
      </c>
      <c r="J42" s="13">
        <f t="shared" si="4"/>
        <v>-17600000</v>
      </c>
      <c r="K42" s="20">
        <f t="shared" si="4"/>
        <v>-17600000</v>
      </c>
    </row>
    <row r="43" spans="3:11" x14ac:dyDescent="0.25">
      <c r="C43" s="19" t="s">
        <v>174</v>
      </c>
      <c r="D43" s="13"/>
      <c r="E43" s="13">
        <f>+$D$12*$D$14*$D$32</f>
        <v>7800000</v>
      </c>
      <c r="F43" s="13">
        <f t="shared" ref="F43:K43" si="5">+$D$12*$D$14*$D$32</f>
        <v>7800000</v>
      </c>
      <c r="G43" s="13">
        <f t="shared" si="5"/>
        <v>7800000</v>
      </c>
      <c r="H43" s="13">
        <f t="shared" si="5"/>
        <v>7800000</v>
      </c>
      <c r="I43" s="13">
        <f t="shared" si="5"/>
        <v>7800000</v>
      </c>
      <c r="J43" s="13">
        <f t="shared" si="5"/>
        <v>7800000</v>
      </c>
      <c r="K43" s="20">
        <f t="shared" si="5"/>
        <v>7800000</v>
      </c>
    </row>
    <row r="44" spans="3:11" x14ac:dyDescent="0.25">
      <c r="C44" s="19" t="s">
        <v>164</v>
      </c>
      <c r="D44" s="13"/>
      <c r="E44" s="13">
        <f>-$D$16*$D$18*$D$32</f>
        <v>-1800000</v>
      </c>
      <c r="F44" s="13">
        <f t="shared" ref="F44:K44" si="6">-$D$16*$D$18*$D$32</f>
        <v>-1800000</v>
      </c>
      <c r="G44" s="13">
        <f t="shared" si="6"/>
        <v>-1800000</v>
      </c>
      <c r="H44" s="13">
        <f t="shared" si="6"/>
        <v>-1800000</v>
      </c>
      <c r="I44" s="13">
        <f t="shared" si="6"/>
        <v>-1800000</v>
      </c>
      <c r="J44" s="13">
        <f t="shared" si="6"/>
        <v>-1800000</v>
      </c>
      <c r="K44" s="20">
        <f t="shared" si="6"/>
        <v>-1800000</v>
      </c>
    </row>
    <row r="45" spans="3:11" x14ac:dyDescent="0.25">
      <c r="C45" s="125" t="s">
        <v>175</v>
      </c>
      <c r="D45" s="126"/>
      <c r="E45" s="126">
        <f>SUM(E42:E44)</f>
        <v>-11600000</v>
      </c>
      <c r="F45" s="126">
        <f t="shared" ref="F45:K45" si="7">SUM(F42:F44)</f>
        <v>-11600000</v>
      </c>
      <c r="G45" s="126">
        <f t="shared" si="7"/>
        <v>-11600000</v>
      </c>
      <c r="H45" s="126">
        <f t="shared" si="7"/>
        <v>-11600000</v>
      </c>
      <c r="I45" s="126">
        <f t="shared" si="7"/>
        <v>-11600000</v>
      </c>
      <c r="J45" s="126">
        <f t="shared" si="7"/>
        <v>-11600000</v>
      </c>
      <c r="K45" s="127">
        <f t="shared" si="7"/>
        <v>-11600000</v>
      </c>
    </row>
    <row r="46" spans="3:11" x14ac:dyDescent="0.25">
      <c r="C46" s="121" t="s">
        <v>132</v>
      </c>
      <c r="D46" s="14"/>
      <c r="E46" s="14">
        <f>-$D$19</f>
        <v>-7500000</v>
      </c>
      <c r="F46" s="14">
        <f t="shared" ref="F46:K46" si="8">-$D$19</f>
        <v>-7500000</v>
      </c>
      <c r="G46" s="14">
        <f t="shared" si="8"/>
        <v>-7500000</v>
      </c>
      <c r="H46" s="14">
        <f t="shared" si="8"/>
        <v>-7500000</v>
      </c>
      <c r="I46" s="14">
        <f t="shared" si="8"/>
        <v>-7500000</v>
      </c>
      <c r="J46" s="14">
        <f t="shared" si="8"/>
        <v>-7500000</v>
      </c>
      <c r="K46" s="123">
        <f t="shared" si="8"/>
        <v>-7500000</v>
      </c>
    </row>
    <row r="47" spans="3:11" x14ac:dyDescent="0.25">
      <c r="C47" s="121" t="s">
        <v>52</v>
      </c>
      <c r="D47" s="14"/>
      <c r="E47" s="14">
        <f>-$D$20*D22</f>
        <v>-4550000</v>
      </c>
      <c r="F47" s="14">
        <f>-$D$20*D23</f>
        <v>-3900000</v>
      </c>
      <c r="G47" s="14">
        <f>-$D$20*D24</f>
        <v>-3250000</v>
      </c>
      <c r="H47" s="14">
        <f>-$D$20*D25</f>
        <v>-2600000</v>
      </c>
      <c r="I47" s="14">
        <f>-$D$20*D26</f>
        <v>-1950000</v>
      </c>
      <c r="J47" s="14">
        <f>-$D$20*D27</f>
        <v>-1300000</v>
      </c>
      <c r="K47" s="123">
        <f>-$D$20*D28</f>
        <v>-650000</v>
      </c>
    </row>
    <row r="48" spans="3:11" x14ac:dyDescent="0.25">
      <c r="C48" s="125" t="s">
        <v>53</v>
      </c>
      <c r="D48" s="126"/>
      <c r="E48" s="126">
        <f>-(E41+E45+E46+E47)*$D$30</f>
        <v>-1820000</v>
      </c>
      <c r="F48" s="126">
        <f t="shared" ref="F48:K48" si="9">-(F41+F45+F46+F47)*$D$30</f>
        <v>-2080000</v>
      </c>
      <c r="G48" s="126">
        <f t="shared" si="9"/>
        <v>-2340000</v>
      </c>
      <c r="H48" s="126">
        <f t="shared" si="9"/>
        <v>-2600000</v>
      </c>
      <c r="I48" s="126">
        <f t="shared" si="9"/>
        <v>-2860000</v>
      </c>
      <c r="J48" s="126">
        <f t="shared" si="9"/>
        <v>-3120000</v>
      </c>
      <c r="K48" s="127">
        <f t="shared" si="9"/>
        <v>-3380000</v>
      </c>
    </row>
    <row r="49" spans="2:11" x14ac:dyDescent="0.25">
      <c r="C49" s="31" t="s">
        <v>28</v>
      </c>
      <c r="D49" s="32"/>
      <c r="E49" s="32">
        <f>+E41+E45+E46+E47+E48</f>
        <v>2730000</v>
      </c>
      <c r="F49" s="32">
        <f t="shared" ref="F49:K49" si="10">+F41+F45+F46+F47+F48</f>
        <v>3120000</v>
      </c>
      <c r="G49" s="32">
        <f t="shared" si="10"/>
        <v>3510000</v>
      </c>
      <c r="H49" s="32">
        <f t="shared" si="10"/>
        <v>3900000</v>
      </c>
      <c r="I49" s="32">
        <f t="shared" si="10"/>
        <v>4290000</v>
      </c>
      <c r="J49" s="32">
        <f t="shared" si="10"/>
        <v>4680000</v>
      </c>
      <c r="K49" s="33">
        <f t="shared" si="10"/>
        <v>5070000</v>
      </c>
    </row>
    <row r="50" spans="2:11" x14ac:dyDescent="0.25">
      <c r="E50" s="111"/>
    </row>
    <row r="51" spans="2:11" x14ac:dyDescent="0.25">
      <c r="C51" s="27" t="s">
        <v>176</v>
      </c>
      <c r="D51" s="28" t="s">
        <v>34</v>
      </c>
      <c r="E51" s="28" t="s">
        <v>39</v>
      </c>
      <c r="F51" s="28" t="s">
        <v>40</v>
      </c>
      <c r="G51" s="28" t="s">
        <v>41</v>
      </c>
      <c r="H51" s="28" t="s">
        <v>42</v>
      </c>
      <c r="I51" s="28" t="s">
        <v>43</v>
      </c>
      <c r="J51" s="28" t="s">
        <v>44</v>
      </c>
      <c r="K51" s="29" t="s">
        <v>45</v>
      </c>
    </row>
    <row r="52" spans="2:11" x14ac:dyDescent="0.25">
      <c r="C52" s="19" t="s">
        <v>54</v>
      </c>
      <c r="D52" s="13"/>
      <c r="E52" s="13">
        <f t="shared" ref="E52:K52" si="11">+E49</f>
        <v>2730000</v>
      </c>
      <c r="F52" s="13">
        <f t="shared" si="11"/>
        <v>3120000</v>
      </c>
      <c r="G52" s="13">
        <f t="shared" si="11"/>
        <v>3510000</v>
      </c>
      <c r="H52" s="13">
        <f t="shared" si="11"/>
        <v>3900000</v>
      </c>
      <c r="I52" s="13">
        <f t="shared" si="11"/>
        <v>4290000</v>
      </c>
      <c r="J52" s="13">
        <f t="shared" si="11"/>
        <v>4680000</v>
      </c>
      <c r="K52" s="20">
        <f t="shared" si="11"/>
        <v>5070000</v>
      </c>
    </row>
    <row r="53" spans="2:11" x14ac:dyDescent="0.25">
      <c r="C53" s="19" t="s">
        <v>55</v>
      </c>
      <c r="D53" s="13"/>
      <c r="E53" s="13">
        <f t="shared" ref="E53:K53" si="12">-E47</f>
        <v>4550000</v>
      </c>
      <c r="F53" s="13">
        <f t="shared" si="12"/>
        <v>3900000</v>
      </c>
      <c r="G53" s="13">
        <f t="shared" si="12"/>
        <v>3250000</v>
      </c>
      <c r="H53" s="13">
        <f t="shared" si="12"/>
        <v>2600000</v>
      </c>
      <c r="I53" s="13">
        <f t="shared" si="12"/>
        <v>1950000</v>
      </c>
      <c r="J53" s="13">
        <f t="shared" si="12"/>
        <v>1300000</v>
      </c>
      <c r="K53" s="20">
        <f t="shared" si="12"/>
        <v>650000</v>
      </c>
    </row>
    <row r="54" spans="2:11" x14ac:dyDescent="0.25">
      <c r="C54" s="19" t="s">
        <v>177</v>
      </c>
      <c r="D54" s="13"/>
      <c r="E54" s="13"/>
      <c r="F54" s="13"/>
      <c r="G54" s="13"/>
      <c r="H54" s="13"/>
      <c r="I54" s="13"/>
      <c r="J54" s="13"/>
      <c r="K54" s="20">
        <f>-SUM(D58:J58)</f>
        <v>2820000</v>
      </c>
    </row>
    <row r="55" spans="2:11" x14ac:dyDescent="0.25">
      <c r="C55" s="19" t="s">
        <v>178</v>
      </c>
      <c r="D55" s="13"/>
      <c r="E55" s="13"/>
      <c r="F55" s="13"/>
      <c r="G55" s="13"/>
      <c r="H55" s="13"/>
      <c r="I55" s="13"/>
      <c r="J55" s="13"/>
      <c r="K55" s="20">
        <v>0</v>
      </c>
    </row>
    <row r="56" spans="2:11" x14ac:dyDescent="0.25">
      <c r="C56" s="19" t="s">
        <v>19</v>
      </c>
      <c r="D56" s="13">
        <f>SUM(D57:D58)</f>
        <v>-21020000</v>
      </c>
      <c r="E56" s="13">
        <f t="shared" ref="E56:K56" si="13">SUM(E57:E58)</f>
        <v>0</v>
      </c>
      <c r="F56" s="13">
        <f t="shared" si="13"/>
        <v>0</v>
      </c>
      <c r="G56" s="13">
        <f t="shared" si="13"/>
        <v>0</v>
      </c>
      <c r="H56" s="13">
        <f t="shared" si="13"/>
        <v>0</v>
      </c>
      <c r="I56" s="13">
        <f t="shared" si="13"/>
        <v>0</v>
      </c>
      <c r="J56" s="13">
        <f t="shared" si="13"/>
        <v>0</v>
      </c>
      <c r="K56" s="20">
        <f t="shared" si="13"/>
        <v>0</v>
      </c>
    </row>
    <row r="57" spans="2:11" x14ac:dyDescent="0.25">
      <c r="C57" s="19" t="s">
        <v>157</v>
      </c>
      <c r="D57" s="13">
        <f>-D20</f>
        <v>-18200000</v>
      </c>
      <c r="E57" s="13"/>
      <c r="F57" s="13"/>
      <c r="G57" s="13"/>
      <c r="H57" s="13"/>
      <c r="I57" s="13"/>
      <c r="J57" s="13"/>
      <c r="K57" s="20"/>
    </row>
    <row r="58" spans="2:11" x14ac:dyDescent="0.25">
      <c r="C58" s="19" t="s">
        <v>104</v>
      </c>
      <c r="D58" s="13">
        <f>-(E41-D41)*$D$29</f>
        <v>-2820000</v>
      </c>
      <c r="E58" s="13"/>
      <c r="F58" s="13"/>
      <c r="G58" s="13"/>
      <c r="H58" s="13"/>
      <c r="I58" s="13"/>
      <c r="J58" s="13"/>
      <c r="K58" s="20"/>
    </row>
    <row r="59" spans="2:11" x14ac:dyDescent="0.25">
      <c r="C59" s="31" t="s">
        <v>85</v>
      </c>
      <c r="D59" s="32">
        <f>SUM(D52:D56)</f>
        <v>-21020000</v>
      </c>
      <c r="E59" s="32">
        <f t="shared" ref="E59:K59" si="14">SUM(E52:E56)</f>
        <v>7280000</v>
      </c>
      <c r="F59" s="32">
        <f t="shared" si="14"/>
        <v>7020000</v>
      </c>
      <c r="G59" s="32">
        <f t="shared" si="14"/>
        <v>6760000</v>
      </c>
      <c r="H59" s="32">
        <f t="shared" si="14"/>
        <v>6500000</v>
      </c>
      <c r="I59" s="32">
        <f t="shared" si="14"/>
        <v>6240000</v>
      </c>
      <c r="J59" s="32">
        <f t="shared" si="14"/>
        <v>5980000</v>
      </c>
      <c r="K59" s="33">
        <f t="shared" si="14"/>
        <v>8540000</v>
      </c>
    </row>
    <row r="61" spans="2:11" x14ac:dyDescent="0.25">
      <c r="B61" s="11" t="s">
        <v>105</v>
      </c>
      <c r="C61" s="73" t="s">
        <v>27</v>
      </c>
      <c r="D61" s="130">
        <f>+D59+NPV(D31,E59:K59)</f>
        <v>8557126.9697349742</v>
      </c>
    </row>
    <row r="62" spans="2:11" x14ac:dyDescent="0.25">
      <c r="C62" s="73" t="s">
        <v>33</v>
      </c>
      <c r="D62" s="131">
        <f>IRR(D59:K59)</f>
        <v>0.2656429413695145</v>
      </c>
    </row>
    <row r="63" spans="2:11" x14ac:dyDescent="0.25">
      <c r="C63" s="73" t="s">
        <v>179</v>
      </c>
      <c r="D63" s="129" t="s">
        <v>43</v>
      </c>
    </row>
    <row r="64" spans="2:11" ht="6.6" customHeight="1" x14ac:dyDescent="0.25">
      <c r="C64" s="133"/>
      <c r="D64" s="132"/>
    </row>
    <row r="65" spans="2:11" x14ac:dyDescent="0.25">
      <c r="C65" s="27"/>
      <c r="D65" s="28" t="s">
        <v>34</v>
      </c>
      <c r="E65" s="28" t="s">
        <v>39</v>
      </c>
      <c r="F65" s="28" t="s">
        <v>40</v>
      </c>
      <c r="G65" s="28" t="s">
        <v>41</v>
      </c>
      <c r="H65" s="28" t="s">
        <v>42</v>
      </c>
      <c r="I65" s="28" t="s">
        <v>43</v>
      </c>
      <c r="J65" s="28" t="s">
        <v>44</v>
      </c>
      <c r="K65" s="29" t="s">
        <v>45</v>
      </c>
    </row>
    <row r="66" spans="2:11" x14ac:dyDescent="0.25">
      <c r="C66" s="19" t="s">
        <v>392</v>
      </c>
      <c r="D66" s="13"/>
      <c r="E66" s="13">
        <f>+E59/(1+$D$31)^1</f>
        <v>6385964.9122807011</v>
      </c>
      <c r="F66" s="13">
        <f>+F59/(1+$D$31)^2</f>
        <v>5401662.0498614945</v>
      </c>
      <c r="G66" s="13">
        <f>+G59/(1+$D$31)^3</f>
        <v>4562807.4495256292</v>
      </c>
      <c r="H66" s="13">
        <f>+H59/(1+$D$31)^4</f>
        <v>3848521.8029062315</v>
      </c>
      <c r="I66" s="13">
        <f>+I59/(1+$D$31)^5</f>
        <v>3240860.4656052473</v>
      </c>
      <c r="J66" s="13">
        <f>+J59/(1+$D$31)^6</f>
        <v>2724407.5551506095</v>
      </c>
      <c r="K66" s="20">
        <f>+K59/(1+$D$31)^7</f>
        <v>3412902.734405064</v>
      </c>
    </row>
    <row r="67" spans="2:11" x14ac:dyDescent="0.25">
      <c r="C67" s="23" t="s">
        <v>391</v>
      </c>
      <c r="D67" s="43">
        <f>+D59</f>
        <v>-21020000</v>
      </c>
      <c r="E67" s="43">
        <f t="shared" ref="E67:K67" si="15">+D67+E66</f>
        <v>-14634035.087719299</v>
      </c>
      <c r="F67" s="43">
        <f t="shared" si="15"/>
        <v>-9232373.0378578044</v>
      </c>
      <c r="G67" s="43">
        <f t="shared" si="15"/>
        <v>-4669565.5883321753</v>
      </c>
      <c r="H67" s="43">
        <f t="shared" si="15"/>
        <v>-821043.78542594379</v>
      </c>
      <c r="I67" s="12">
        <f t="shared" si="15"/>
        <v>2419816.6801793035</v>
      </c>
      <c r="J67" s="43">
        <f t="shared" si="15"/>
        <v>5144224.235329913</v>
      </c>
      <c r="K67" s="122">
        <f t="shared" si="15"/>
        <v>8557126.9697349779</v>
      </c>
    </row>
    <row r="69" spans="2:11" x14ac:dyDescent="0.25">
      <c r="C69" s="73"/>
      <c r="D69" s="136" t="s">
        <v>56</v>
      </c>
      <c r="E69" s="134" t="s">
        <v>56</v>
      </c>
    </row>
    <row r="70" spans="2:11" x14ac:dyDescent="0.25">
      <c r="B70" s="11" t="s">
        <v>106</v>
      </c>
      <c r="C70" s="90"/>
      <c r="D70" s="89" t="s">
        <v>180</v>
      </c>
      <c r="E70" s="89" t="s">
        <v>181</v>
      </c>
    </row>
    <row r="71" spans="2:11" x14ac:dyDescent="0.25">
      <c r="C71" s="130" t="s">
        <v>27</v>
      </c>
      <c r="D71" s="130">
        <v>12658976.314404503</v>
      </c>
      <c r="E71" s="135">
        <v>4455277.625065472</v>
      </c>
    </row>
    <row r="73" spans="2:11" x14ac:dyDescent="0.25">
      <c r="B73" s="11" t="s">
        <v>107</v>
      </c>
      <c r="C73" s="588" t="s">
        <v>401</v>
      </c>
      <c r="D73" s="589"/>
      <c r="E73" s="590"/>
      <c r="F73" s="52"/>
      <c r="G73" s="588" t="s">
        <v>323</v>
      </c>
      <c r="H73" s="589"/>
      <c r="I73" s="590"/>
    </row>
    <row r="74" spans="2:11" x14ac:dyDescent="0.25">
      <c r="C74" s="89" t="s">
        <v>86</v>
      </c>
      <c r="D74" s="89" t="s">
        <v>56</v>
      </c>
      <c r="E74" s="89" t="s">
        <v>87</v>
      </c>
      <c r="G74" s="89" t="s">
        <v>86</v>
      </c>
      <c r="H74" s="89" t="s">
        <v>56</v>
      </c>
      <c r="I74" s="89" t="s">
        <v>87</v>
      </c>
    </row>
    <row r="75" spans="2:11" x14ac:dyDescent="0.25">
      <c r="C75" s="99">
        <v>0.9</v>
      </c>
      <c r="D75" s="69">
        <v>3410732.3323642239</v>
      </c>
      <c r="E75" s="69">
        <v>-1117717.5776962079</v>
      </c>
      <c r="G75" s="99">
        <v>0.9</v>
      </c>
      <c r="H75" s="69">
        <f>+D75*100/$D$77</f>
        <v>39.858381725868668</v>
      </c>
      <c r="I75" s="69">
        <f>+E75*100/$E$77</f>
        <v>-13.061832337528411</v>
      </c>
    </row>
    <row r="76" spans="2:11" x14ac:dyDescent="0.25">
      <c r="C76" s="99">
        <v>0.95</v>
      </c>
      <c r="D76" s="69">
        <v>5983929.6510496028</v>
      </c>
      <c r="E76" s="69">
        <v>3719704.696019385</v>
      </c>
      <c r="G76" s="99">
        <v>0.95</v>
      </c>
      <c r="H76" s="69">
        <f t="shared" ref="H76:H79" si="16">+D76*100/$D$77</f>
        <v>69.929190862934377</v>
      </c>
      <c r="I76" s="69">
        <f t="shared" ref="I76:I79" si="17">+E76*100/$E$77</f>
        <v>43.469083831235814</v>
      </c>
    </row>
    <row r="77" spans="2:11" x14ac:dyDescent="0.25">
      <c r="C77" s="99">
        <v>1</v>
      </c>
      <c r="D77" s="69">
        <v>8557126.9697349742</v>
      </c>
      <c r="E77" s="69">
        <f>+D77</f>
        <v>8557126.9697349742</v>
      </c>
      <c r="G77" s="99">
        <v>1</v>
      </c>
      <c r="H77" s="69">
        <f t="shared" si="16"/>
        <v>100</v>
      </c>
      <c r="I77" s="69">
        <f t="shared" si="17"/>
        <v>100</v>
      </c>
    </row>
    <row r="78" spans="2:11" x14ac:dyDescent="0.25">
      <c r="C78" s="99">
        <v>1.05</v>
      </c>
      <c r="D78" s="69">
        <v>11130324.288420357</v>
      </c>
      <c r="E78" s="69">
        <v>13394549.243450575</v>
      </c>
      <c r="G78" s="99">
        <v>1.05</v>
      </c>
      <c r="H78" s="69">
        <f t="shared" si="16"/>
        <v>130.07080913706577</v>
      </c>
      <c r="I78" s="69">
        <f t="shared" si="17"/>
        <v>156.53091616876432</v>
      </c>
    </row>
    <row r="79" spans="2:11" x14ac:dyDescent="0.25">
      <c r="C79" s="99">
        <v>1.1000000000000001</v>
      </c>
      <c r="D79" s="69">
        <v>13703521.607105747</v>
      </c>
      <c r="E79" s="69">
        <v>18231971.517166175</v>
      </c>
      <c r="G79" s="99">
        <v>1.1000000000000001</v>
      </c>
      <c r="H79" s="69">
        <f t="shared" si="16"/>
        <v>160.14161827413159</v>
      </c>
      <c r="I79" s="69">
        <f t="shared" si="17"/>
        <v>213.06183233752864</v>
      </c>
    </row>
    <row r="81" spans="2:5" x14ac:dyDescent="0.25">
      <c r="B81" s="11" t="s">
        <v>111</v>
      </c>
      <c r="C81" s="37"/>
      <c r="D81" s="136" t="s">
        <v>182</v>
      </c>
      <c r="E81" s="136" t="s">
        <v>87</v>
      </c>
    </row>
    <row r="82" spans="2:5" x14ac:dyDescent="0.25">
      <c r="C82" s="69" t="s">
        <v>183</v>
      </c>
      <c r="D82" s="69">
        <v>45855</v>
      </c>
      <c r="E82" s="69">
        <v>638.09</v>
      </c>
    </row>
    <row r="83" spans="2:5" x14ac:dyDescent="0.25">
      <c r="C83" s="69" t="s">
        <v>184</v>
      </c>
      <c r="D83" s="112">
        <f>+(D82/D8)-1</f>
        <v>-0.16627272727272724</v>
      </c>
      <c r="E83" s="112">
        <f>+(E82/D9)-1</f>
        <v>-8.8442857142857045E-2</v>
      </c>
    </row>
  </sheetData>
  <sheetProtection algorithmName="SHA-512" hashValue="OoLEQxovKeOybwWgrBjvdkKsQC4Rkf/NaXuoXUqSX1JRJDqwyrkT+7db3p3GMdjFgKX7Ek0vu7CtQo3U/2doWA==" saltValue="EHEFR0uGmBwbwAL7vaXtew==" spinCount="100000" sheet="1" objects="1" scenarios="1"/>
  <mergeCells count="4">
    <mergeCell ref="C4:F4"/>
    <mergeCell ref="C73:E73"/>
    <mergeCell ref="G73:I73"/>
    <mergeCell ref="C1:K1"/>
  </mergeCells>
  <phoneticPr fontId="3" type="noConversion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G99"/>
  <sheetViews>
    <sheetView topLeftCell="A19" zoomScaleNormal="100" workbookViewId="0">
      <selection activeCell="E49" sqref="E49"/>
    </sheetView>
  </sheetViews>
  <sheetFormatPr baseColWidth="10" defaultRowHeight="13.8" x14ac:dyDescent="0.25"/>
  <cols>
    <col min="1" max="1" width="18.109375" style="6" customWidth="1"/>
    <col min="2" max="2" width="6.88671875" style="6" customWidth="1"/>
    <col min="3" max="3" width="23.88671875" style="6" customWidth="1"/>
    <col min="4" max="4" width="18.88671875" style="6" customWidth="1"/>
    <col min="5" max="5" width="17.6640625" style="6" customWidth="1"/>
    <col min="6" max="6" width="18.88671875" style="6" customWidth="1"/>
    <col min="7" max="7" width="13.6640625" style="6" bestFit="1" customWidth="1"/>
    <col min="8" max="9" width="13.6640625" style="6" customWidth="1"/>
    <col min="10" max="10" width="13.33203125" style="6" customWidth="1"/>
    <col min="11" max="11" width="11.5546875" style="6" bestFit="1" customWidth="1"/>
    <col min="12" max="12" width="7" style="6" bestFit="1" customWidth="1"/>
    <col min="13" max="14" width="12.33203125" style="6" bestFit="1" customWidth="1"/>
    <col min="15" max="15" width="10.6640625" style="6" bestFit="1" customWidth="1"/>
    <col min="16" max="16" width="10.109375" style="6" bestFit="1" customWidth="1"/>
    <col min="17" max="19" width="11.6640625" style="6" bestFit="1" customWidth="1"/>
    <col min="20" max="24" width="11.44140625" style="6"/>
    <col min="25" max="25" width="11.44140625" style="6" customWidth="1"/>
    <col min="26" max="30" width="11.44140625" style="6"/>
    <col min="31" max="31" width="1.109375" style="6" customWidth="1"/>
    <col min="32" max="258" width="11.44140625" style="6"/>
    <col min="259" max="259" width="22.5546875" style="6" customWidth="1"/>
    <col min="260" max="260" width="16.109375" style="6" customWidth="1"/>
    <col min="261" max="261" width="12.33203125" style="6" bestFit="1" customWidth="1"/>
    <col min="262" max="262" width="12.6640625" style="6" customWidth="1"/>
    <col min="263" max="263" width="12.33203125" style="6" bestFit="1" customWidth="1"/>
    <col min="264" max="264" width="12.6640625" style="6" bestFit="1" customWidth="1"/>
    <col min="265" max="265" width="12.33203125" style="6" bestFit="1" customWidth="1"/>
    <col min="266" max="267" width="11.44140625" style="6"/>
    <col min="268" max="269" width="12.33203125" style="6" bestFit="1" customWidth="1"/>
    <col min="270" max="514" width="11.44140625" style="6"/>
    <col min="515" max="515" width="22.5546875" style="6" customWidth="1"/>
    <col min="516" max="516" width="16.109375" style="6" customWidth="1"/>
    <col min="517" max="517" width="12.33203125" style="6" bestFit="1" customWidth="1"/>
    <col min="518" max="518" width="12.6640625" style="6" customWidth="1"/>
    <col min="519" max="519" width="12.33203125" style="6" bestFit="1" customWidth="1"/>
    <col min="520" max="520" width="12.6640625" style="6" bestFit="1" customWidth="1"/>
    <col min="521" max="521" width="12.33203125" style="6" bestFit="1" customWidth="1"/>
    <col min="522" max="523" width="11.44140625" style="6"/>
    <col min="524" max="525" width="12.33203125" style="6" bestFit="1" customWidth="1"/>
    <col min="526" max="770" width="11.44140625" style="6"/>
    <col min="771" max="771" width="22.5546875" style="6" customWidth="1"/>
    <col min="772" max="772" width="16.109375" style="6" customWidth="1"/>
    <col min="773" max="773" width="12.33203125" style="6" bestFit="1" customWidth="1"/>
    <col min="774" max="774" width="12.6640625" style="6" customWidth="1"/>
    <col min="775" max="775" width="12.33203125" style="6" bestFit="1" customWidth="1"/>
    <col min="776" max="776" width="12.6640625" style="6" bestFit="1" customWidth="1"/>
    <col min="777" max="777" width="12.33203125" style="6" bestFit="1" customWidth="1"/>
    <col min="778" max="779" width="11.44140625" style="6"/>
    <col min="780" max="781" width="12.33203125" style="6" bestFit="1" customWidth="1"/>
    <col min="782" max="1026" width="11.44140625" style="6"/>
    <col min="1027" max="1027" width="22.5546875" style="6" customWidth="1"/>
    <col min="1028" max="1028" width="16.109375" style="6" customWidth="1"/>
    <col min="1029" max="1029" width="12.33203125" style="6" bestFit="1" customWidth="1"/>
    <col min="1030" max="1030" width="12.6640625" style="6" customWidth="1"/>
    <col min="1031" max="1031" width="12.33203125" style="6" bestFit="1" customWidth="1"/>
    <col min="1032" max="1032" width="12.6640625" style="6" bestFit="1" customWidth="1"/>
    <col min="1033" max="1033" width="12.33203125" style="6" bestFit="1" customWidth="1"/>
    <col min="1034" max="1035" width="11.44140625" style="6"/>
    <col min="1036" max="1037" width="12.33203125" style="6" bestFit="1" customWidth="1"/>
    <col min="1038" max="1282" width="11.44140625" style="6"/>
    <col min="1283" max="1283" width="22.5546875" style="6" customWidth="1"/>
    <col min="1284" max="1284" width="16.109375" style="6" customWidth="1"/>
    <col min="1285" max="1285" width="12.33203125" style="6" bestFit="1" customWidth="1"/>
    <col min="1286" max="1286" width="12.6640625" style="6" customWidth="1"/>
    <col min="1287" max="1287" width="12.33203125" style="6" bestFit="1" customWidth="1"/>
    <col min="1288" max="1288" width="12.6640625" style="6" bestFit="1" customWidth="1"/>
    <col min="1289" max="1289" width="12.33203125" style="6" bestFit="1" customWidth="1"/>
    <col min="1290" max="1291" width="11.44140625" style="6"/>
    <col min="1292" max="1293" width="12.33203125" style="6" bestFit="1" customWidth="1"/>
    <col min="1294" max="1538" width="11.44140625" style="6"/>
    <col min="1539" max="1539" width="22.5546875" style="6" customWidth="1"/>
    <col min="1540" max="1540" width="16.109375" style="6" customWidth="1"/>
    <col min="1541" max="1541" width="12.33203125" style="6" bestFit="1" customWidth="1"/>
    <col min="1542" max="1542" width="12.6640625" style="6" customWidth="1"/>
    <col min="1543" max="1543" width="12.33203125" style="6" bestFit="1" customWidth="1"/>
    <col min="1544" max="1544" width="12.6640625" style="6" bestFit="1" customWidth="1"/>
    <col min="1545" max="1545" width="12.33203125" style="6" bestFit="1" customWidth="1"/>
    <col min="1546" max="1547" width="11.44140625" style="6"/>
    <col min="1548" max="1549" width="12.33203125" style="6" bestFit="1" customWidth="1"/>
    <col min="1550" max="1794" width="11.44140625" style="6"/>
    <col min="1795" max="1795" width="22.5546875" style="6" customWidth="1"/>
    <col min="1796" max="1796" width="16.109375" style="6" customWidth="1"/>
    <col min="1797" max="1797" width="12.33203125" style="6" bestFit="1" customWidth="1"/>
    <col min="1798" max="1798" width="12.6640625" style="6" customWidth="1"/>
    <col min="1799" max="1799" width="12.33203125" style="6" bestFit="1" customWidth="1"/>
    <col min="1800" max="1800" width="12.6640625" style="6" bestFit="1" customWidth="1"/>
    <col min="1801" max="1801" width="12.33203125" style="6" bestFit="1" customWidth="1"/>
    <col min="1802" max="1803" width="11.44140625" style="6"/>
    <col min="1804" max="1805" width="12.33203125" style="6" bestFit="1" customWidth="1"/>
    <col min="1806" max="2050" width="11.44140625" style="6"/>
    <col min="2051" max="2051" width="22.5546875" style="6" customWidth="1"/>
    <col min="2052" max="2052" width="16.109375" style="6" customWidth="1"/>
    <col min="2053" max="2053" width="12.33203125" style="6" bestFit="1" customWidth="1"/>
    <col min="2054" max="2054" width="12.6640625" style="6" customWidth="1"/>
    <col min="2055" max="2055" width="12.33203125" style="6" bestFit="1" customWidth="1"/>
    <col min="2056" max="2056" width="12.6640625" style="6" bestFit="1" customWidth="1"/>
    <col min="2057" max="2057" width="12.33203125" style="6" bestFit="1" customWidth="1"/>
    <col min="2058" max="2059" width="11.44140625" style="6"/>
    <col min="2060" max="2061" width="12.33203125" style="6" bestFit="1" customWidth="1"/>
    <col min="2062" max="2306" width="11.44140625" style="6"/>
    <col min="2307" max="2307" width="22.5546875" style="6" customWidth="1"/>
    <col min="2308" max="2308" width="16.109375" style="6" customWidth="1"/>
    <col min="2309" max="2309" width="12.33203125" style="6" bestFit="1" customWidth="1"/>
    <col min="2310" max="2310" width="12.6640625" style="6" customWidth="1"/>
    <col min="2311" max="2311" width="12.33203125" style="6" bestFit="1" customWidth="1"/>
    <col min="2312" max="2312" width="12.6640625" style="6" bestFit="1" customWidth="1"/>
    <col min="2313" max="2313" width="12.33203125" style="6" bestFit="1" customWidth="1"/>
    <col min="2314" max="2315" width="11.44140625" style="6"/>
    <col min="2316" max="2317" width="12.33203125" style="6" bestFit="1" customWidth="1"/>
    <col min="2318" max="2562" width="11.44140625" style="6"/>
    <col min="2563" max="2563" width="22.5546875" style="6" customWidth="1"/>
    <col min="2564" max="2564" width="16.109375" style="6" customWidth="1"/>
    <col min="2565" max="2565" width="12.33203125" style="6" bestFit="1" customWidth="1"/>
    <col min="2566" max="2566" width="12.6640625" style="6" customWidth="1"/>
    <col min="2567" max="2567" width="12.33203125" style="6" bestFit="1" customWidth="1"/>
    <col min="2568" max="2568" width="12.6640625" style="6" bestFit="1" customWidth="1"/>
    <col min="2569" max="2569" width="12.33203125" style="6" bestFit="1" customWidth="1"/>
    <col min="2570" max="2571" width="11.44140625" style="6"/>
    <col min="2572" max="2573" width="12.33203125" style="6" bestFit="1" customWidth="1"/>
    <col min="2574" max="2818" width="11.44140625" style="6"/>
    <col min="2819" max="2819" width="22.5546875" style="6" customWidth="1"/>
    <col min="2820" max="2820" width="16.109375" style="6" customWidth="1"/>
    <col min="2821" max="2821" width="12.33203125" style="6" bestFit="1" customWidth="1"/>
    <col min="2822" max="2822" width="12.6640625" style="6" customWidth="1"/>
    <col min="2823" max="2823" width="12.33203125" style="6" bestFit="1" customWidth="1"/>
    <col min="2824" max="2824" width="12.6640625" style="6" bestFit="1" customWidth="1"/>
    <col min="2825" max="2825" width="12.33203125" style="6" bestFit="1" customWidth="1"/>
    <col min="2826" max="2827" width="11.44140625" style="6"/>
    <col min="2828" max="2829" width="12.33203125" style="6" bestFit="1" customWidth="1"/>
    <col min="2830" max="3074" width="11.44140625" style="6"/>
    <col min="3075" max="3075" width="22.5546875" style="6" customWidth="1"/>
    <col min="3076" max="3076" width="16.109375" style="6" customWidth="1"/>
    <col min="3077" max="3077" width="12.33203125" style="6" bestFit="1" customWidth="1"/>
    <col min="3078" max="3078" width="12.6640625" style="6" customWidth="1"/>
    <col min="3079" max="3079" width="12.33203125" style="6" bestFit="1" customWidth="1"/>
    <col min="3080" max="3080" width="12.6640625" style="6" bestFit="1" customWidth="1"/>
    <col min="3081" max="3081" width="12.33203125" style="6" bestFit="1" customWidth="1"/>
    <col min="3082" max="3083" width="11.44140625" style="6"/>
    <col min="3084" max="3085" width="12.33203125" style="6" bestFit="1" customWidth="1"/>
    <col min="3086" max="3330" width="11.44140625" style="6"/>
    <col min="3331" max="3331" width="22.5546875" style="6" customWidth="1"/>
    <col min="3332" max="3332" width="16.109375" style="6" customWidth="1"/>
    <col min="3333" max="3333" width="12.33203125" style="6" bestFit="1" customWidth="1"/>
    <col min="3334" max="3334" width="12.6640625" style="6" customWidth="1"/>
    <col min="3335" max="3335" width="12.33203125" style="6" bestFit="1" customWidth="1"/>
    <col min="3336" max="3336" width="12.6640625" style="6" bestFit="1" customWidth="1"/>
    <col min="3337" max="3337" width="12.33203125" style="6" bestFit="1" customWidth="1"/>
    <col min="3338" max="3339" width="11.44140625" style="6"/>
    <col min="3340" max="3341" width="12.33203125" style="6" bestFit="1" customWidth="1"/>
    <col min="3342" max="3586" width="11.44140625" style="6"/>
    <col min="3587" max="3587" width="22.5546875" style="6" customWidth="1"/>
    <col min="3588" max="3588" width="16.109375" style="6" customWidth="1"/>
    <col min="3589" max="3589" width="12.33203125" style="6" bestFit="1" customWidth="1"/>
    <col min="3590" max="3590" width="12.6640625" style="6" customWidth="1"/>
    <col min="3591" max="3591" width="12.33203125" style="6" bestFit="1" customWidth="1"/>
    <col min="3592" max="3592" width="12.6640625" style="6" bestFit="1" customWidth="1"/>
    <col min="3593" max="3593" width="12.33203125" style="6" bestFit="1" customWidth="1"/>
    <col min="3594" max="3595" width="11.44140625" style="6"/>
    <col min="3596" max="3597" width="12.33203125" style="6" bestFit="1" customWidth="1"/>
    <col min="3598" max="3842" width="11.44140625" style="6"/>
    <col min="3843" max="3843" width="22.5546875" style="6" customWidth="1"/>
    <col min="3844" max="3844" width="16.109375" style="6" customWidth="1"/>
    <col min="3845" max="3845" width="12.33203125" style="6" bestFit="1" customWidth="1"/>
    <col min="3846" max="3846" width="12.6640625" style="6" customWidth="1"/>
    <col min="3847" max="3847" width="12.33203125" style="6" bestFit="1" customWidth="1"/>
    <col min="3848" max="3848" width="12.6640625" style="6" bestFit="1" customWidth="1"/>
    <col min="3849" max="3849" width="12.33203125" style="6" bestFit="1" customWidth="1"/>
    <col min="3850" max="3851" width="11.44140625" style="6"/>
    <col min="3852" max="3853" width="12.33203125" style="6" bestFit="1" customWidth="1"/>
    <col min="3854" max="4098" width="11.44140625" style="6"/>
    <col min="4099" max="4099" width="22.5546875" style="6" customWidth="1"/>
    <col min="4100" max="4100" width="16.109375" style="6" customWidth="1"/>
    <col min="4101" max="4101" width="12.33203125" style="6" bestFit="1" customWidth="1"/>
    <col min="4102" max="4102" width="12.6640625" style="6" customWidth="1"/>
    <col min="4103" max="4103" width="12.33203125" style="6" bestFit="1" customWidth="1"/>
    <col min="4104" max="4104" width="12.6640625" style="6" bestFit="1" customWidth="1"/>
    <col min="4105" max="4105" width="12.33203125" style="6" bestFit="1" customWidth="1"/>
    <col min="4106" max="4107" width="11.44140625" style="6"/>
    <col min="4108" max="4109" width="12.33203125" style="6" bestFit="1" customWidth="1"/>
    <col min="4110" max="4354" width="11.44140625" style="6"/>
    <col min="4355" max="4355" width="22.5546875" style="6" customWidth="1"/>
    <col min="4356" max="4356" width="16.109375" style="6" customWidth="1"/>
    <col min="4357" max="4357" width="12.33203125" style="6" bestFit="1" customWidth="1"/>
    <col min="4358" max="4358" width="12.6640625" style="6" customWidth="1"/>
    <col min="4359" max="4359" width="12.33203125" style="6" bestFit="1" customWidth="1"/>
    <col min="4360" max="4360" width="12.6640625" style="6" bestFit="1" customWidth="1"/>
    <col min="4361" max="4361" width="12.33203125" style="6" bestFit="1" customWidth="1"/>
    <col min="4362" max="4363" width="11.44140625" style="6"/>
    <col min="4364" max="4365" width="12.33203125" style="6" bestFit="1" customWidth="1"/>
    <col min="4366" max="4610" width="11.44140625" style="6"/>
    <col min="4611" max="4611" width="22.5546875" style="6" customWidth="1"/>
    <col min="4612" max="4612" width="16.109375" style="6" customWidth="1"/>
    <col min="4613" max="4613" width="12.33203125" style="6" bestFit="1" customWidth="1"/>
    <col min="4614" max="4614" width="12.6640625" style="6" customWidth="1"/>
    <col min="4615" max="4615" width="12.33203125" style="6" bestFit="1" customWidth="1"/>
    <col min="4616" max="4616" width="12.6640625" style="6" bestFit="1" customWidth="1"/>
    <col min="4617" max="4617" width="12.33203125" style="6" bestFit="1" customWidth="1"/>
    <col min="4618" max="4619" width="11.44140625" style="6"/>
    <col min="4620" max="4621" width="12.33203125" style="6" bestFit="1" customWidth="1"/>
    <col min="4622" max="4866" width="11.44140625" style="6"/>
    <col min="4867" max="4867" width="22.5546875" style="6" customWidth="1"/>
    <col min="4868" max="4868" width="16.109375" style="6" customWidth="1"/>
    <col min="4869" max="4869" width="12.33203125" style="6" bestFit="1" customWidth="1"/>
    <col min="4870" max="4870" width="12.6640625" style="6" customWidth="1"/>
    <col min="4871" max="4871" width="12.33203125" style="6" bestFit="1" customWidth="1"/>
    <col min="4872" max="4872" width="12.6640625" style="6" bestFit="1" customWidth="1"/>
    <col min="4873" max="4873" width="12.33203125" style="6" bestFit="1" customWidth="1"/>
    <col min="4874" max="4875" width="11.44140625" style="6"/>
    <col min="4876" max="4877" width="12.33203125" style="6" bestFit="1" customWidth="1"/>
    <col min="4878" max="5122" width="11.44140625" style="6"/>
    <col min="5123" max="5123" width="22.5546875" style="6" customWidth="1"/>
    <col min="5124" max="5124" width="16.109375" style="6" customWidth="1"/>
    <col min="5125" max="5125" width="12.33203125" style="6" bestFit="1" customWidth="1"/>
    <col min="5126" max="5126" width="12.6640625" style="6" customWidth="1"/>
    <col min="5127" max="5127" width="12.33203125" style="6" bestFit="1" customWidth="1"/>
    <col min="5128" max="5128" width="12.6640625" style="6" bestFit="1" customWidth="1"/>
    <col min="5129" max="5129" width="12.33203125" style="6" bestFit="1" customWidth="1"/>
    <col min="5130" max="5131" width="11.44140625" style="6"/>
    <col min="5132" max="5133" width="12.33203125" style="6" bestFit="1" customWidth="1"/>
    <col min="5134" max="5378" width="11.44140625" style="6"/>
    <col min="5379" max="5379" width="22.5546875" style="6" customWidth="1"/>
    <col min="5380" max="5380" width="16.109375" style="6" customWidth="1"/>
    <col min="5381" max="5381" width="12.33203125" style="6" bestFit="1" customWidth="1"/>
    <col min="5382" max="5382" width="12.6640625" style="6" customWidth="1"/>
    <col min="5383" max="5383" width="12.33203125" style="6" bestFit="1" customWidth="1"/>
    <col min="5384" max="5384" width="12.6640625" style="6" bestFit="1" customWidth="1"/>
    <col min="5385" max="5385" width="12.33203125" style="6" bestFit="1" customWidth="1"/>
    <col min="5386" max="5387" width="11.44140625" style="6"/>
    <col min="5388" max="5389" width="12.33203125" style="6" bestFit="1" customWidth="1"/>
    <col min="5390" max="5634" width="11.44140625" style="6"/>
    <col min="5635" max="5635" width="22.5546875" style="6" customWidth="1"/>
    <col min="5636" max="5636" width="16.109375" style="6" customWidth="1"/>
    <col min="5637" max="5637" width="12.33203125" style="6" bestFit="1" customWidth="1"/>
    <col min="5638" max="5638" width="12.6640625" style="6" customWidth="1"/>
    <col min="5639" max="5639" width="12.33203125" style="6" bestFit="1" customWidth="1"/>
    <col min="5640" max="5640" width="12.6640625" style="6" bestFit="1" customWidth="1"/>
    <col min="5641" max="5641" width="12.33203125" style="6" bestFit="1" customWidth="1"/>
    <col min="5642" max="5643" width="11.44140625" style="6"/>
    <col min="5644" max="5645" width="12.33203125" style="6" bestFit="1" customWidth="1"/>
    <col min="5646" max="5890" width="11.44140625" style="6"/>
    <col min="5891" max="5891" width="22.5546875" style="6" customWidth="1"/>
    <col min="5892" max="5892" width="16.109375" style="6" customWidth="1"/>
    <col min="5893" max="5893" width="12.33203125" style="6" bestFit="1" customWidth="1"/>
    <col min="5894" max="5894" width="12.6640625" style="6" customWidth="1"/>
    <col min="5895" max="5895" width="12.33203125" style="6" bestFit="1" customWidth="1"/>
    <col min="5896" max="5896" width="12.6640625" style="6" bestFit="1" customWidth="1"/>
    <col min="5897" max="5897" width="12.33203125" style="6" bestFit="1" customWidth="1"/>
    <col min="5898" max="5899" width="11.44140625" style="6"/>
    <col min="5900" max="5901" width="12.33203125" style="6" bestFit="1" customWidth="1"/>
    <col min="5902" max="6146" width="11.44140625" style="6"/>
    <col min="6147" max="6147" width="22.5546875" style="6" customWidth="1"/>
    <col min="6148" max="6148" width="16.109375" style="6" customWidth="1"/>
    <col min="6149" max="6149" width="12.33203125" style="6" bestFit="1" customWidth="1"/>
    <col min="6150" max="6150" width="12.6640625" style="6" customWidth="1"/>
    <col min="6151" max="6151" width="12.33203125" style="6" bestFit="1" customWidth="1"/>
    <col min="6152" max="6152" width="12.6640625" style="6" bestFit="1" customWidth="1"/>
    <col min="6153" max="6153" width="12.33203125" style="6" bestFit="1" customWidth="1"/>
    <col min="6154" max="6155" width="11.44140625" style="6"/>
    <col min="6156" max="6157" width="12.33203125" style="6" bestFit="1" customWidth="1"/>
    <col min="6158" max="6402" width="11.44140625" style="6"/>
    <col min="6403" max="6403" width="22.5546875" style="6" customWidth="1"/>
    <col min="6404" max="6404" width="16.109375" style="6" customWidth="1"/>
    <col min="6405" max="6405" width="12.33203125" style="6" bestFit="1" customWidth="1"/>
    <col min="6406" max="6406" width="12.6640625" style="6" customWidth="1"/>
    <col min="6407" max="6407" width="12.33203125" style="6" bestFit="1" customWidth="1"/>
    <col min="6408" max="6408" width="12.6640625" style="6" bestFit="1" customWidth="1"/>
    <col min="6409" max="6409" width="12.33203125" style="6" bestFit="1" customWidth="1"/>
    <col min="6410" max="6411" width="11.44140625" style="6"/>
    <col min="6412" max="6413" width="12.33203125" style="6" bestFit="1" customWidth="1"/>
    <col min="6414" max="6658" width="11.44140625" style="6"/>
    <col min="6659" max="6659" width="22.5546875" style="6" customWidth="1"/>
    <col min="6660" max="6660" width="16.109375" style="6" customWidth="1"/>
    <col min="6661" max="6661" width="12.33203125" style="6" bestFit="1" customWidth="1"/>
    <col min="6662" max="6662" width="12.6640625" style="6" customWidth="1"/>
    <col min="6663" max="6663" width="12.33203125" style="6" bestFit="1" customWidth="1"/>
    <col min="6664" max="6664" width="12.6640625" style="6" bestFit="1" customWidth="1"/>
    <col min="6665" max="6665" width="12.33203125" style="6" bestFit="1" customWidth="1"/>
    <col min="6666" max="6667" width="11.44140625" style="6"/>
    <col min="6668" max="6669" width="12.33203125" style="6" bestFit="1" customWidth="1"/>
    <col min="6670" max="6914" width="11.44140625" style="6"/>
    <col min="6915" max="6915" width="22.5546875" style="6" customWidth="1"/>
    <col min="6916" max="6916" width="16.109375" style="6" customWidth="1"/>
    <col min="6917" max="6917" width="12.33203125" style="6" bestFit="1" customWidth="1"/>
    <col min="6918" max="6918" width="12.6640625" style="6" customWidth="1"/>
    <col min="6919" max="6919" width="12.33203125" style="6" bestFit="1" customWidth="1"/>
    <col min="6920" max="6920" width="12.6640625" style="6" bestFit="1" customWidth="1"/>
    <col min="6921" max="6921" width="12.33203125" style="6" bestFit="1" customWidth="1"/>
    <col min="6922" max="6923" width="11.44140625" style="6"/>
    <col min="6924" max="6925" width="12.33203125" style="6" bestFit="1" customWidth="1"/>
    <col min="6926" max="7170" width="11.44140625" style="6"/>
    <col min="7171" max="7171" width="22.5546875" style="6" customWidth="1"/>
    <col min="7172" max="7172" width="16.109375" style="6" customWidth="1"/>
    <col min="7173" max="7173" width="12.33203125" style="6" bestFit="1" customWidth="1"/>
    <col min="7174" max="7174" width="12.6640625" style="6" customWidth="1"/>
    <col min="7175" max="7175" width="12.33203125" style="6" bestFit="1" customWidth="1"/>
    <col min="7176" max="7176" width="12.6640625" style="6" bestFit="1" customWidth="1"/>
    <col min="7177" max="7177" width="12.33203125" style="6" bestFit="1" customWidth="1"/>
    <col min="7178" max="7179" width="11.44140625" style="6"/>
    <col min="7180" max="7181" width="12.33203125" style="6" bestFit="1" customWidth="1"/>
    <col min="7182" max="7426" width="11.44140625" style="6"/>
    <col min="7427" max="7427" width="22.5546875" style="6" customWidth="1"/>
    <col min="7428" max="7428" width="16.109375" style="6" customWidth="1"/>
    <col min="7429" max="7429" width="12.33203125" style="6" bestFit="1" customWidth="1"/>
    <col min="7430" max="7430" width="12.6640625" style="6" customWidth="1"/>
    <col min="7431" max="7431" width="12.33203125" style="6" bestFit="1" customWidth="1"/>
    <col min="7432" max="7432" width="12.6640625" style="6" bestFit="1" customWidth="1"/>
    <col min="7433" max="7433" width="12.33203125" style="6" bestFit="1" customWidth="1"/>
    <col min="7434" max="7435" width="11.44140625" style="6"/>
    <col min="7436" max="7437" width="12.33203125" style="6" bestFit="1" customWidth="1"/>
    <col min="7438" max="7682" width="11.44140625" style="6"/>
    <col min="7683" max="7683" width="22.5546875" style="6" customWidth="1"/>
    <col min="7684" max="7684" width="16.109375" style="6" customWidth="1"/>
    <col min="7685" max="7685" width="12.33203125" style="6" bestFit="1" customWidth="1"/>
    <col min="7686" max="7686" width="12.6640625" style="6" customWidth="1"/>
    <col min="7687" max="7687" width="12.33203125" style="6" bestFit="1" customWidth="1"/>
    <col min="7688" max="7688" width="12.6640625" style="6" bestFit="1" customWidth="1"/>
    <col min="7689" max="7689" width="12.33203125" style="6" bestFit="1" customWidth="1"/>
    <col min="7690" max="7691" width="11.44140625" style="6"/>
    <col min="7692" max="7693" width="12.33203125" style="6" bestFit="1" customWidth="1"/>
    <col min="7694" max="7938" width="11.44140625" style="6"/>
    <col min="7939" max="7939" width="22.5546875" style="6" customWidth="1"/>
    <col min="7940" max="7940" width="16.109375" style="6" customWidth="1"/>
    <col min="7941" max="7941" width="12.33203125" style="6" bestFit="1" customWidth="1"/>
    <col min="7942" max="7942" width="12.6640625" style="6" customWidth="1"/>
    <col min="7943" max="7943" width="12.33203125" style="6" bestFit="1" customWidth="1"/>
    <col min="7944" max="7944" width="12.6640625" style="6" bestFit="1" customWidth="1"/>
    <col min="7945" max="7945" width="12.33203125" style="6" bestFit="1" customWidth="1"/>
    <col min="7946" max="7947" width="11.44140625" style="6"/>
    <col min="7948" max="7949" width="12.33203125" style="6" bestFit="1" customWidth="1"/>
    <col min="7950" max="8194" width="11.44140625" style="6"/>
    <col min="8195" max="8195" width="22.5546875" style="6" customWidth="1"/>
    <col min="8196" max="8196" width="16.109375" style="6" customWidth="1"/>
    <col min="8197" max="8197" width="12.33203125" style="6" bestFit="1" customWidth="1"/>
    <col min="8198" max="8198" width="12.6640625" style="6" customWidth="1"/>
    <col min="8199" max="8199" width="12.33203125" style="6" bestFit="1" customWidth="1"/>
    <col min="8200" max="8200" width="12.6640625" style="6" bestFit="1" customWidth="1"/>
    <col min="8201" max="8201" width="12.33203125" style="6" bestFit="1" customWidth="1"/>
    <col min="8202" max="8203" width="11.44140625" style="6"/>
    <col min="8204" max="8205" width="12.33203125" style="6" bestFit="1" customWidth="1"/>
    <col min="8206" max="8450" width="11.44140625" style="6"/>
    <col min="8451" max="8451" width="22.5546875" style="6" customWidth="1"/>
    <col min="8452" max="8452" width="16.109375" style="6" customWidth="1"/>
    <col min="8453" max="8453" width="12.33203125" style="6" bestFit="1" customWidth="1"/>
    <col min="8454" max="8454" width="12.6640625" style="6" customWidth="1"/>
    <col min="8455" max="8455" width="12.33203125" style="6" bestFit="1" customWidth="1"/>
    <col min="8456" max="8456" width="12.6640625" style="6" bestFit="1" customWidth="1"/>
    <col min="8457" max="8457" width="12.33203125" style="6" bestFit="1" customWidth="1"/>
    <col min="8458" max="8459" width="11.44140625" style="6"/>
    <col min="8460" max="8461" width="12.33203125" style="6" bestFit="1" customWidth="1"/>
    <col min="8462" max="8706" width="11.44140625" style="6"/>
    <col min="8707" max="8707" width="22.5546875" style="6" customWidth="1"/>
    <col min="8708" max="8708" width="16.109375" style="6" customWidth="1"/>
    <col min="8709" max="8709" width="12.33203125" style="6" bestFit="1" customWidth="1"/>
    <col min="8710" max="8710" width="12.6640625" style="6" customWidth="1"/>
    <col min="8711" max="8711" width="12.33203125" style="6" bestFit="1" customWidth="1"/>
    <col min="8712" max="8712" width="12.6640625" style="6" bestFit="1" customWidth="1"/>
    <col min="8713" max="8713" width="12.33203125" style="6" bestFit="1" customWidth="1"/>
    <col min="8714" max="8715" width="11.44140625" style="6"/>
    <col min="8716" max="8717" width="12.33203125" style="6" bestFit="1" customWidth="1"/>
    <col min="8718" max="8962" width="11.44140625" style="6"/>
    <col min="8963" max="8963" width="22.5546875" style="6" customWidth="1"/>
    <col min="8964" max="8964" width="16.109375" style="6" customWidth="1"/>
    <col min="8965" max="8965" width="12.33203125" style="6" bestFit="1" customWidth="1"/>
    <col min="8966" max="8966" width="12.6640625" style="6" customWidth="1"/>
    <col min="8967" max="8967" width="12.33203125" style="6" bestFit="1" customWidth="1"/>
    <col min="8968" max="8968" width="12.6640625" style="6" bestFit="1" customWidth="1"/>
    <col min="8969" max="8969" width="12.33203125" style="6" bestFit="1" customWidth="1"/>
    <col min="8970" max="8971" width="11.44140625" style="6"/>
    <col min="8972" max="8973" width="12.33203125" style="6" bestFit="1" customWidth="1"/>
    <col min="8974" max="9218" width="11.44140625" style="6"/>
    <col min="9219" max="9219" width="22.5546875" style="6" customWidth="1"/>
    <col min="9220" max="9220" width="16.109375" style="6" customWidth="1"/>
    <col min="9221" max="9221" width="12.33203125" style="6" bestFit="1" customWidth="1"/>
    <col min="9222" max="9222" width="12.6640625" style="6" customWidth="1"/>
    <col min="9223" max="9223" width="12.33203125" style="6" bestFit="1" customWidth="1"/>
    <col min="9224" max="9224" width="12.6640625" style="6" bestFit="1" customWidth="1"/>
    <col min="9225" max="9225" width="12.33203125" style="6" bestFit="1" customWidth="1"/>
    <col min="9226" max="9227" width="11.44140625" style="6"/>
    <col min="9228" max="9229" width="12.33203125" style="6" bestFit="1" customWidth="1"/>
    <col min="9230" max="9474" width="11.44140625" style="6"/>
    <col min="9475" max="9475" width="22.5546875" style="6" customWidth="1"/>
    <col min="9476" max="9476" width="16.109375" style="6" customWidth="1"/>
    <col min="9477" max="9477" width="12.33203125" style="6" bestFit="1" customWidth="1"/>
    <col min="9478" max="9478" width="12.6640625" style="6" customWidth="1"/>
    <col min="9479" max="9479" width="12.33203125" style="6" bestFit="1" customWidth="1"/>
    <col min="9480" max="9480" width="12.6640625" style="6" bestFit="1" customWidth="1"/>
    <col min="9481" max="9481" width="12.33203125" style="6" bestFit="1" customWidth="1"/>
    <col min="9482" max="9483" width="11.44140625" style="6"/>
    <col min="9484" max="9485" width="12.33203125" style="6" bestFit="1" customWidth="1"/>
    <col min="9486" max="9730" width="11.44140625" style="6"/>
    <col min="9731" max="9731" width="22.5546875" style="6" customWidth="1"/>
    <col min="9732" max="9732" width="16.109375" style="6" customWidth="1"/>
    <col min="9733" max="9733" width="12.33203125" style="6" bestFit="1" customWidth="1"/>
    <col min="9734" max="9734" width="12.6640625" style="6" customWidth="1"/>
    <col min="9735" max="9735" width="12.33203125" style="6" bestFit="1" customWidth="1"/>
    <col min="9736" max="9736" width="12.6640625" style="6" bestFit="1" customWidth="1"/>
    <col min="9737" max="9737" width="12.33203125" style="6" bestFit="1" customWidth="1"/>
    <col min="9738" max="9739" width="11.44140625" style="6"/>
    <col min="9740" max="9741" width="12.33203125" style="6" bestFit="1" customWidth="1"/>
    <col min="9742" max="9986" width="11.44140625" style="6"/>
    <col min="9987" max="9987" width="22.5546875" style="6" customWidth="1"/>
    <col min="9988" max="9988" width="16.109375" style="6" customWidth="1"/>
    <col min="9989" max="9989" width="12.33203125" style="6" bestFit="1" customWidth="1"/>
    <col min="9990" max="9990" width="12.6640625" style="6" customWidth="1"/>
    <col min="9991" max="9991" width="12.33203125" style="6" bestFit="1" customWidth="1"/>
    <col min="9992" max="9992" width="12.6640625" style="6" bestFit="1" customWidth="1"/>
    <col min="9993" max="9993" width="12.33203125" style="6" bestFit="1" customWidth="1"/>
    <col min="9994" max="9995" width="11.44140625" style="6"/>
    <col min="9996" max="9997" width="12.33203125" style="6" bestFit="1" customWidth="1"/>
    <col min="9998" max="10242" width="11.44140625" style="6"/>
    <col min="10243" max="10243" width="22.5546875" style="6" customWidth="1"/>
    <col min="10244" max="10244" width="16.109375" style="6" customWidth="1"/>
    <col min="10245" max="10245" width="12.33203125" style="6" bestFit="1" customWidth="1"/>
    <col min="10246" max="10246" width="12.6640625" style="6" customWidth="1"/>
    <col min="10247" max="10247" width="12.33203125" style="6" bestFit="1" customWidth="1"/>
    <col min="10248" max="10248" width="12.6640625" style="6" bestFit="1" customWidth="1"/>
    <col min="10249" max="10249" width="12.33203125" style="6" bestFit="1" customWidth="1"/>
    <col min="10250" max="10251" width="11.44140625" style="6"/>
    <col min="10252" max="10253" width="12.33203125" style="6" bestFit="1" customWidth="1"/>
    <col min="10254" max="10498" width="11.44140625" style="6"/>
    <col min="10499" max="10499" width="22.5546875" style="6" customWidth="1"/>
    <col min="10500" max="10500" width="16.109375" style="6" customWidth="1"/>
    <col min="10501" max="10501" width="12.33203125" style="6" bestFit="1" customWidth="1"/>
    <col min="10502" max="10502" width="12.6640625" style="6" customWidth="1"/>
    <col min="10503" max="10503" width="12.33203125" style="6" bestFit="1" customWidth="1"/>
    <col min="10504" max="10504" width="12.6640625" style="6" bestFit="1" customWidth="1"/>
    <col min="10505" max="10505" width="12.33203125" style="6" bestFit="1" customWidth="1"/>
    <col min="10506" max="10507" width="11.44140625" style="6"/>
    <col min="10508" max="10509" width="12.33203125" style="6" bestFit="1" customWidth="1"/>
    <col min="10510" max="10754" width="11.44140625" style="6"/>
    <col min="10755" max="10755" width="22.5546875" style="6" customWidth="1"/>
    <col min="10756" max="10756" width="16.109375" style="6" customWidth="1"/>
    <col min="10757" max="10757" width="12.33203125" style="6" bestFit="1" customWidth="1"/>
    <col min="10758" max="10758" width="12.6640625" style="6" customWidth="1"/>
    <col min="10759" max="10759" width="12.33203125" style="6" bestFit="1" customWidth="1"/>
    <col min="10760" max="10760" width="12.6640625" style="6" bestFit="1" customWidth="1"/>
    <col min="10761" max="10761" width="12.33203125" style="6" bestFit="1" customWidth="1"/>
    <col min="10762" max="10763" width="11.44140625" style="6"/>
    <col min="10764" max="10765" width="12.33203125" style="6" bestFit="1" customWidth="1"/>
    <col min="10766" max="11010" width="11.44140625" style="6"/>
    <col min="11011" max="11011" width="22.5546875" style="6" customWidth="1"/>
    <col min="11012" max="11012" width="16.109375" style="6" customWidth="1"/>
    <col min="11013" max="11013" width="12.33203125" style="6" bestFit="1" customWidth="1"/>
    <col min="11014" max="11014" width="12.6640625" style="6" customWidth="1"/>
    <col min="11015" max="11015" width="12.33203125" style="6" bestFit="1" customWidth="1"/>
    <col min="11016" max="11016" width="12.6640625" style="6" bestFit="1" customWidth="1"/>
    <col min="11017" max="11017" width="12.33203125" style="6" bestFit="1" customWidth="1"/>
    <col min="11018" max="11019" width="11.44140625" style="6"/>
    <col min="11020" max="11021" width="12.33203125" style="6" bestFit="1" customWidth="1"/>
    <col min="11022" max="11266" width="11.44140625" style="6"/>
    <col min="11267" max="11267" width="22.5546875" style="6" customWidth="1"/>
    <col min="11268" max="11268" width="16.109375" style="6" customWidth="1"/>
    <col min="11269" max="11269" width="12.33203125" style="6" bestFit="1" customWidth="1"/>
    <col min="11270" max="11270" width="12.6640625" style="6" customWidth="1"/>
    <col min="11271" max="11271" width="12.33203125" style="6" bestFit="1" customWidth="1"/>
    <col min="11272" max="11272" width="12.6640625" style="6" bestFit="1" customWidth="1"/>
    <col min="11273" max="11273" width="12.33203125" style="6" bestFit="1" customWidth="1"/>
    <col min="11274" max="11275" width="11.44140625" style="6"/>
    <col min="11276" max="11277" width="12.33203125" style="6" bestFit="1" customWidth="1"/>
    <col min="11278" max="11522" width="11.44140625" style="6"/>
    <col min="11523" max="11523" width="22.5546875" style="6" customWidth="1"/>
    <col min="11524" max="11524" width="16.109375" style="6" customWidth="1"/>
    <col min="11525" max="11525" width="12.33203125" style="6" bestFit="1" customWidth="1"/>
    <col min="11526" max="11526" width="12.6640625" style="6" customWidth="1"/>
    <col min="11527" max="11527" width="12.33203125" style="6" bestFit="1" customWidth="1"/>
    <col min="11528" max="11528" width="12.6640625" style="6" bestFit="1" customWidth="1"/>
    <col min="11529" max="11529" width="12.33203125" style="6" bestFit="1" customWidth="1"/>
    <col min="11530" max="11531" width="11.44140625" style="6"/>
    <col min="11532" max="11533" width="12.33203125" style="6" bestFit="1" customWidth="1"/>
    <col min="11534" max="11778" width="11.44140625" style="6"/>
    <col min="11779" max="11779" width="22.5546875" style="6" customWidth="1"/>
    <col min="11780" max="11780" width="16.109375" style="6" customWidth="1"/>
    <col min="11781" max="11781" width="12.33203125" style="6" bestFit="1" customWidth="1"/>
    <col min="11782" max="11782" width="12.6640625" style="6" customWidth="1"/>
    <col min="11783" max="11783" width="12.33203125" style="6" bestFit="1" customWidth="1"/>
    <col min="11784" max="11784" width="12.6640625" style="6" bestFit="1" customWidth="1"/>
    <col min="11785" max="11785" width="12.33203125" style="6" bestFit="1" customWidth="1"/>
    <col min="11786" max="11787" width="11.44140625" style="6"/>
    <col min="11788" max="11789" width="12.33203125" style="6" bestFit="1" customWidth="1"/>
    <col min="11790" max="12034" width="11.44140625" style="6"/>
    <col min="12035" max="12035" width="22.5546875" style="6" customWidth="1"/>
    <col min="12036" max="12036" width="16.109375" style="6" customWidth="1"/>
    <col min="12037" max="12037" width="12.33203125" style="6" bestFit="1" customWidth="1"/>
    <col min="12038" max="12038" width="12.6640625" style="6" customWidth="1"/>
    <col min="12039" max="12039" width="12.33203125" style="6" bestFit="1" customWidth="1"/>
    <col min="12040" max="12040" width="12.6640625" style="6" bestFit="1" customWidth="1"/>
    <col min="12041" max="12041" width="12.33203125" style="6" bestFit="1" customWidth="1"/>
    <col min="12042" max="12043" width="11.44140625" style="6"/>
    <col min="12044" max="12045" width="12.33203125" style="6" bestFit="1" customWidth="1"/>
    <col min="12046" max="12290" width="11.44140625" style="6"/>
    <col min="12291" max="12291" width="22.5546875" style="6" customWidth="1"/>
    <col min="12292" max="12292" width="16.109375" style="6" customWidth="1"/>
    <col min="12293" max="12293" width="12.33203125" style="6" bestFit="1" customWidth="1"/>
    <col min="12294" max="12294" width="12.6640625" style="6" customWidth="1"/>
    <col min="12295" max="12295" width="12.33203125" style="6" bestFit="1" customWidth="1"/>
    <col min="12296" max="12296" width="12.6640625" style="6" bestFit="1" customWidth="1"/>
    <col min="12297" max="12297" width="12.33203125" style="6" bestFit="1" customWidth="1"/>
    <col min="12298" max="12299" width="11.44140625" style="6"/>
    <col min="12300" max="12301" width="12.33203125" style="6" bestFit="1" customWidth="1"/>
    <col min="12302" max="12546" width="11.44140625" style="6"/>
    <col min="12547" max="12547" width="22.5546875" style="6" customWidth="1"/>
    <col min="12548" max="12548" width="16.109375" style="6" customWidth="1"/>
    <col min="12549" max="12549" width="12.33203125" style="6" bestFit="1" customWidth="1"/>
    <col min="12550" max="12550" width="12.6640625" style="6" customWidth="1"/>
    <col min="12551" max="12551" width="12.33203125" style="6" bestFit="1" customWidth="1"/>
    <col min="12552" max="12552" width="12.6640625" style="6" bestFit="1" customWidth="1"/>
    <col min="12553" max="12553" width="12.33203125" style="6" bestFit="1" customWidth="1"/>
    <col min="12554" max="12555" width="11.44140625" style="6"/>
    <col min="12556" max="12557" width="12.33203125" style="6" bestFit="1" customWidth="1"/>
    <col min="12558" max="12802" width="11.44140625" style="6"/>
    <col min="12803" max="12803" width="22.5546875" style="6" customWidth="1"/>
    <col min="12804" max="12804" width="16.109375" style="6" customWidth="1"/>
    <col min="12805" max="12805" width="12.33203125" style="6" bestFit="1" customWidth="1"/>
    <col min="12806" max="12806" width="12.6640625" style="6" customWidth="1"/>
    <col min="12807" max="12807" width="12.33203125" style="6" bestFit="1" customWidth="1"/>
    <col min="12808" max="12808" width="12.6640625" style="6" bestFit="1" customWidth="1"/>
    <col min="12809" max="12809" width="12.33203125" style="6" bestFit="1" customWidth="1"/>
    <col min="12810" max="12811" width="11.44140625" style="6"/>
    <col min="12812" max="12813" width="12.33203125" style="6" bestFit="1" customWidth="1"/>
    <col min="12814" max="13058" width="11.44140625" style="6"/>
    <col min="13059" max="13059" width="22.5546875" style="6" customWidth="1"/>
    <col min="13060" max="13060" width="16.109375" style="6" customWidth="1"/>
    <col min="13061" max="13061" width="12.33203125" style="6" bestFit="1" customWidth="1"/>
    <col min="13062" max="13062" width="12.6640625" style="6" customWidth="1"/>
    <col min="13063" max="13063" width="12.33203125" style="6" bestFit="1" customWidth="1"/>
    <col min="13064" max="13064" width="12.6640625" style="6" bestFit="1" customWidth="1"/>
    <col min="13065" max="13065" width="12.33203125" style="6" bestFit="1" customWidth="1"/>
    <col min="13066" max="13067" width="11.44140625" style="6"/>
    <col min="13068" max="13069" width="12.33203125" style="6" bestFit="1" customWidth="1"/>
    <col min="13070" max="13314" width="11.44140625" style="6"/>
    <col min="13315" max="13315" width="22.5546875" style="6" customWidth="1"/>
    <col min="13316" max="13316" width="16.109375" style="6" customWidth="1"/>
    <col min="13317" max="13317" width="12.33203125" style="6" bestFit="1" customWidth="1"/>
    <col min="13318" max="13318" width="12.6640625" style="6" customWidth="1"/>
    <col min="13319" max="13319" width="12.33203125" style="6" bestFit="1" customWidth="1"/>
    <col min="13320" max="13320" width="12.6640625" style="6" bestFit="1" customWidth="1"/>
    <col min="13321" max="13321" width="12.33203125" style="6" bestFit="1" customWidth="1"/>
    <col min="13322" max="13323" width="11.44140625" style="6"/>
    <col min="13324" max="13325" width="12.33203125" style="6" bestFit="1" customWidth="1"/>
    <col min="13326" max="13570" width="11.44140625" style="6"/>
    <col min="13571" max="13571" width="22.5546875" style="6" customWidth="1"/>
    <col min="13572" max="13572" width="16.109375" style="6" customWidth="1"/>
    <col min="13573" max="13573" width="12.33203125" style="6" bestFit="1" customWidth="1"/>
    <col min="13574" max="13574" width="12.6640625" style="6" customWidth="1"/>
    <col min="13575" max="13575" width="12.33203125" style="6" bestFit="1" customWidth="1"/>
    <col min="13576" max="13576" width="12.6640625" style="6" bestFit="1" customWidth="1"/>
    <col min="13577" max="13577" width="12.33203125" style="6" bestFit="1" customWidth="1"/>
    <col min="13578" max="13579" width="11.44140625" style="6"/>
    <col min="13580" max="13581" width="12.33203125" style="6" bestFit="1" customWidth="1"/>
    <col min="13582" max="13826" width="11.44140625" style="6"/>
    <col min="13827" max="13827" width="22.5546875" style="6" customWidth="1"/>
    <col min="13828" max="13828" width="16.109375" style="6" customWidth="1"/>
    <col min="13829" max="13829" width="12.33203125" style="6" bestFit="1" customWidth="1"/>
    <col min="13830" max="13830" width="12.6640625" style="6" customWidth="1"/>
    <col min="13831" max="13831" width="12.33203125" style="6" bestFit="1" customWidth="1"/>
    <col min="13832" max="13832" width="12.6640625" style="6" bestFit="1" customWidth="1"/>
    <col min="13833" max="13833" width="12.33203125" style="6" bestFit="1" customWidth="1"/>
    <col min="13834" max="13835" width="11.44140625" style="6"/>
    <col min="13836" max="13837" width="12.33203125" style="6" bestFit="1" customWidth="1"/>
    <col min="13838" max="14082" width="11.44140625" style="6"/>
    <col min="14083" max="14083" width="22.5546875" style="6" customWidth="1"/>
    <col min="14084" max="14084" width="16.109375" style="6" customWidth="1"/>
    <col min="14085" max="14085" width="12.33203125" style="6" bestFit="1" customWidth="1"/>
    <col min="14086" max="14086" width="12.6640625" style="6" customWidth="1"/>
    <col min="14087" max="14087" width="12.33203125" style="6" bestFit="1" customWidth="1"/>
    <col min="14088" max="14088" width="12.6640625" style="6" bestFit="1" customWidth="1"/>
    <col min="14089" max="14089" width="12.33203125" style="6" bestFit="1" customWidth="1"/>
    <col min="14090" max="14091" width="11.44140625" style="6"/>
    <col min="14092" max="14093" width="12.33203125" style="6" bestFit="1" customWidth="1"/>
    <col min="14094" max="14338" width="11.44140625" style="6"/>
    <col min="14339" max="14339" width="22.5546875" style="6" customWidth="1"/>
    <col min="14340" max="14340" width="16.109375" style="6" customWidth="1"/>
    <col min="14341" max="14341" width="12.33203125" style="6" bestFit="1" customWidth="1"/>
    <col min="14342" max="14342" width="12.6640625" style="6" customWidth="1"/>
    <col min="14343" max="14343" width="12.33203125" style="6" bestFit="1" customWidth="1"/>
    <col min="14344" max="14344" width="12.6640625" style="6" bestFit="1" customWidth="1"/>
    <col min="14345" max="14345" width="12.33203125" style="6" bestFit="1" customWidth="1"/>
    <col min="14346" max="14347" width="11.44140625" style="6"/>
    <col min="14348" max="14349" width="12.33203125" style="6" bestFit="1" customWidth="1"/>
    <col min="14350" max="14594" width="11.44140625" style="6"/>
    <col min="14595" max="14595" width="22.5546875" style="6" customWidth="1"/>
    <col min="14596" max="14596" width="16.109375" style="6" customWidth="1"/>
    <col min="14597" max="14597" width="12.33203125" style="6" bestFit="1" customWidth="1"/>
    <col min="14598" max="14598" width="12.6640625" style="6" customWidth="1"/>
    <col min="14599" max="14599" width="12.33203125" style="6" bestFit="1" customWidth="1"/>
    <col min="14600" max="14600" width="12.6640625" style="6" bestFit="1" customWidth="1"/>
    <col min="14601" max="14601" width="12.33203125" style="6" bestFit="1" customWidth="1"/>
    <col min="14602" max="14603" width="11.44140625" style="6"/>
    <col min="14604" max="14605" width="12.33203125" style="6" bestFit="1" customWidth="1"/>
    <col min="14606" max="14850" width="11.44140625" style="6"/>
    <col min="14851" max="14851" width="22.5546875" style="6" customWidth="1"/>
    <col min="14852" max="14852" width="16.109375" style="6" customWidth="1"/>
    <col min="14853" max="14853" width="12.33203125" style="6" bestFit="1" customWidth="1"/>
    <col min="14854" max="14854" width="12.6640625" style="6" customWidth="1"/>
    <col min="14855" max="14855" width="12.33203125" style="6" bestFit="1" customWidth="1"/>
    <col min="14856" max="14856" width="12.6640625" style="6" bestFit="1" customWidth="1"/>
    <col min="14857" max="14857" width="12.33203125" style="6" bestFit="1" customWidth="1"/>
    <col min="14858" max="14859" width="11.44140625" style="6"/>
    <col min="14860" max="14861" width="12.33203125" style="6" bestFit="1" customWidth="1"/>
    <col min="14862" max="15106" width="11.44140625" style="6"/>
    <col min="15107" max="15107" width="22.5546875" style="6" customWidth="1"/>
    <col min="15108" max="15108" width="16.109375" style="6" customWidth="1"/>
    <col min="15109" max="15109" width="12.33203125" style="6" bestFit="1" customWidth="1"/>
    <col min="15110" max="15110" width="12.6640625" style="6" customWidth="1"/>
    <col min="15111" max="15111" width="12.33203125" style="6" bestFit="1" customWidth="1"/>
    <col min="15112" max="15112" width="12.6640625" style="6" bestFit="1" customWidth="1"/>
    <col min="15113" max="15113" width="12.33203125" style="6" bestFit="1" customWidth="1"/>
    <col min="15114" max="15115" width="11.44140625" style="6"/>
    <col min="15116" max="15117" width="12.33203125" style="6" bestFit="1" customWidth="1"/>
    <col min="15118" max="15362" width="11.44140625" style="6"/>
    <col min="15363" max="15363" width="22.5546875" style="6" customWidth="1"/>
    <col min="15364" max="15364" width="16.109375" style="6" customWidth="1"/>
    <col min="15365" max="15365" width="12.33203125" style="6" bestFit="1" customWidth="1"/>
    <col min="15366" max="15366" width="12.6640625" style="6" customWidth="1"/>
    <col min="15367" max="15367" width="12.33203125" style="6" bestFit="1" customWidth="1"/>
    <col min="15368" max="15368" width="12.6640625" style="6" bestFit="1" customWidth="1"/>
    <col min="15369" max="15369" width="12.33203125" style="6" bestFit="1" customWidth="1"/>
    <col min="15370" max="15371" width="11.44140625" style="6"/>
    <col min="15372" max="15373" width="12.33203125" style="6" bestFit="1" customWidth="1"/>
    <col min="15374" max="15618" width="11.44140625" style="6"/>
    <col min="15619" max="15619" width="22.5546875" style="6" customWidth="1"/>
    <col min="15620" max="15620" width="16.109375" style="6" customWidth="1"/>
    <col min="15621" max="15621" width="12.33203125" style="6" bestFit="1" customWidth="1"/>
    <col min="15622" max="15622" width="12.6640625" style="6" customWidth="1"/>
    <col min="15623" max="15623" width="12.33203125" style="6" bestFit="1" customWidth="1"/>
    <col min="15624" max="15624" width="12.6640625" style="6" bestFit="1" customWidth="1"/>
    <col min="15625" max="15625" width="12.33203125" style="6" bestFit="1" customWidth="1"/>
    <col min="15626" max="15627" width="11.44140625" style="6"/>
    <col min="15628" max="15629" width="12.33203125" style="6" bestFit="1" customWidth="1"/>
    <col min="15630" max="15874" width="11.44140625" style="6"/>
    <col min="15875" max="15875" width="22.5546875" style="6" customWidth="1"/>
    <col min="15876" max="15876" width="16.109375" style="6" customWidth="1"/>
    <col min="15877" max="15877" width="12.33203125" style="6" bestFit="1" customWidth="1"/>
    <col min="15878" max="15878" width="12.6640625" style="6" customWidth="1"/>
    <col min="15879" max="15879" width="12.33203125" style="6" bestFit="1" customWidth="1"/>
    <col min="15880" max="15880" width="12.6640625" style="6" bestFit="1" customWidth="1"/>
    <col min="15881" max="15881" width="12.33203125" style="6" bestFit="1" customWidth="1"/>
    <col min="15882" max="15883" width="11.44140625" style="6"/>
    <col min="15884" max="15885" width="12.33203125" style="6" bestFit="1" customWidth="1"/>
    <col min="15886" max="16130" width="11.44140625" style="6"/>
    <col min="16131" max="16131" width="22.5546875" style="6" customWidth="1"/>
    <col min="16132" max="16132" width="16.109375" style="6" customWidth="1"/>
    <col min="16133" max="16133" width="12.33203125" style="6" bestFit="1" customWidth="1"/>
    <col min="16134" max="16134" width="12.6640625" style="6" customWidth="1"/>
    <col min="16135" max="16135" width="12.33203125" style="6" bestFit="1" customWidth="1"/>
    <col min="16136" max="16136" width="12.6640625" style="6" bestFit="1" customWidth="1"/>
    <col min="16137" max="16137" width="12.33203125" style="6" bestFit="1" customWidth="1"/>
    <col min="16138" max="16139" width="11.44140625" style="6"/>
    <col min="16140" max="16141" width="12.33203125" style="6" bestFit="1" customWidth="1"/>
    <col min="16142" max="16384" width="11.44140625" style="6"/>
  </cols>
  <sheetData>
    <row r="1" spans="3:10" ht="19.95" customHeight="1" x14ac:dyDescent="0.25">
      <c r="C1" s="583" t="s">
        <v>427</v>
      </c>
      <c r="D1" s="583"/>
      <c r="E1" s="583"/>
      <c r="F1" s="583"/>
      <c r="G1" s="583"/>
      <c r="H1" s="583"/>
      <c r="I1" s="583"/>
      <c r="J1" s="583"/>
    </row>
    <row r="3" spans="3:10" ht="14.4" customHeight="1" x14ac:dyDescent="0.25">
      <c r="C3" s="584" t="s">
        <v>275</v>
      </c>
      <c r="D3" s="591"/>
      <c r="E3" s="591"/>
      <c r="F3" s="585"/>
    </row>
    <row r="4" spans="3:10" x14ac:dyDescent="0.25">
      <c r="C4" s="586"/>
      <c r="D4" s="592"/>
      <c r="E4" s="592"/>
      <c r="F4" s="587"/>
    </row>
    <row r="5" spans="3:10" x14ac:dyDescent="0.25">
      <c r="C5" s="101"/>
      <c r="D5" s="161" t="s">
        <v>191</v>
      </c>
      <c r="E5" s="161" t="s">
        <v>267</v>
      </c>
      <c r="F5" s="162" t="s">
        <v>192</v>
      </c>
    </row>
    <row r="6" spans="3:10" x14ac:dyDescent="0.25">
      <c r="C6" s="19" t="s">
        <v>268</v>
      </c>
      <c r="D6" s="45">
        <v>0.3</v>
      </c>
      <c r="E6" s="45">
        <v>0.5</v>
      </c>
      <c r="F6" s="22">
        <v>0.2</v>
      </c>
    </row>
    <row r="7" spans="3:10" x14ac:dyDescent="0.25">
      <c r="C7" s="19" t="s">
        <v>269</v>
      </c>
      <c r="D7" s="16">
        <v>110000</v>
      </c>
      <c r="E7" s="16">
        <v>120000</v>
      </c>
      <c r="F7" s="21">
        <v>130000</v>
      </c>
    </row>
    <row r="8" spans="3:10" x14ac:dyDescent="0.25">
      <c r="C8" s="19" t="s">
        <v>270</v>
      </c>
      <c r="D8" s="45">
        <v>0.22</v>
      </c>
      <c r="E8" s="45">
        <v>0.25</v>
      </c>
      <c r="F8" s="22">
        <v>0.27</v>
      </c>
    </row>
    <row r="9" spans="3:10" x14ac:dyDescent="0.25">
      <c r="C9" s="19" t="s">
        <v>271</v>
      </c>
      <c r="D9" s="13">
        <v>115</v>
      </c>
      <c r="E9" s="13">
        <f>120*E16</f>
        <v>120</v>
      </c>
      <c r="F9" s="20">
        <v>125</v>
      </c>
    </row>
    <row r="10" spans="3:10" x14ac:dyDescent="0.25">
      <c r="C10" s="19" t="s">
        <v>272</v>
      </c>
      <c r="D10" s="13">
        <v>72</v>
      </c>
      <c r="E10" s="13">
        <f>70*E17</f>
        <v>70</v>
      </c>
      <c r="F10" s="20">
        <v>68</v>
      </c>
    </row>
    <row r="11" spans="3:10" x14ac:dyDescent="0.25">
      <c r="C11" s="19" t="s">
        <v>273</v>
      </c>
      <c r="D11" s="13">
        <v>850000</v>
      </c>
      <c r="E11" s="13">
        <f>800000</f>
        <v>800000</v>
      </c>
      <c r="F11" s="20">
        <v>750000</v>
      </c>
    </row>
    <row r="12" spans="3:10" x14ac:dyDescent="0.25">
      <c r="C12" s="19" t="s">
        <v>274</v>
      </c>
      <c r="D12" s="13">
        <v>1500000</v>
      </c>
      <c r="E12" s="13">
        <f>1500000*E19</f>
        <v>1500000</v>
      </c>
      <c r="F12" s="20">
        <v>1500000</v>
      </c>
    </row>
    <row r="13" spans="3:10" x14ac:dyDescent="0.25">
      <c r="C13" s="19" t="s">
        <v>52</v>
      </c>
      <c r="D13" s="13"/>
      <c r="E13" s="45">
        <v>0.2</v>
      </c>
      <c r="F13" s="20"/>
    </row>
    <row r="14" spans="3:10" x14ac:dyDescent="0.25">
      <c r="C14" s="19" t="s">
        <v>53</v>
      </c>
      <c r="D14" s="13"/>
      <c r="E14" s="45">
        <v>0.4</v>
      </c>
      <c r="F14" s="20"/>
    </row>
    <row r="15" spans="3:10" x14ac:dyDescent="0.25">
      <c r="C15" s="19" t="s">
        <v>31</v>
      </c>
      <c r="D15" s="13"/>
      <c r="E15" s="45">
        <v>0.13</v>
      </c>
      <c r="F15" s="20"/>
    </row>
    <row r="16" spans="3:10" x14ac:dyDescent="0.25">
      <c r="C16" s="19" t="s">
        <v>309</v>
      </c>
      <c r="D16" s="13"/>
      <c r="E16" s="138">
        <v>1</v>
      </c>
      <c r="F16" s="20"/>
    </row>
    <row r="17" spans="2:9" x14ac:dyDescent="0.25">
      <c r="C17" s="19" t="s">
        <v>394</v>
      </c>
      <c r="D17" s="13"/>
      <c r="E17" s="138">
        <v>1</v>
      </c>
      <c r="F17" s="20"/>
    </row>
    <row r="18" spans="2:9" x14ac:dyDescent="0.25">
      <c r="C18" s="19" t="s">
        <v>395</v>
      </c>
      <c r="D18" s="13"/>
      <c r="E18" s="138">
        <v>1</v>
      </c>
      <c r="F18" s="20"/>
    </row>
    <row r="19" spans="2:9" x14ac:dyDescent="0.25">
      <c r="C19" s="19" t="s">
        <v>396</v>
      </c>
      <c r="D19" s="13"/>
      <c r="E19" s="138">
        <v>1</v>
      </c>
      <c r="F19" s="20"/>
    </row>
    <row r="20" spans="2:9" x14ac:dyDescent="0.25">
      <c r="C20" s="23"/>
      <c r="D20" s="43"/>
      <c r="E20" s="43"/>
      <c r="F20" s="122"/>
    </row>
    <row r="22" spans="2:9" x14ac:dyDescent="0.25">
      <c r="B22" s="11" t="s">
        <v>105</v>
      </c>
      <c r="C22" s="163" t="s">
        <v>133</v>
      </c>
      <c r="D22" s="164"/>
      <c r="E22" s="164"/>
      <c r="F22" s="164"/>
      <c r="G22" s="164"/>
      <c r="H22" s="164"/>
      <c r="I22" s="165"/>
    </row>
    <row r="23" spans="2:9" x14ac:dyDescent="0.25">
      <c r="C23" s="101" t="s">
        <v>171</v>
      </c>
      <c r="D23" s="166" t="s">
        <v>34</v>
      </c>
      <c r="E23" s="166" t="s">
        <v>39</v>
      </c>
      <c r="F23" s="166" t="s">
        <v>40</v>
      </c>
      <c r="G23" s="166" t="s">
        <v>41</v>
      </c>
      <c r="H23" s="166" t="s">
        <v>42</v>
      </c>
      <c r="I23" s="167" t="s">
        <v>43</v>
      </c>
    </row>
    <row r="24" spans="2:9" x14ac:dyDescent="0.25">
      <c r="C24" s="19" t="s">
        <v>56</v>
      </c>
      <c r="D24" s="13"/>
      <c r="E24" s="13">
        <f>+$E$7*$E$8*$E$9</f>
        <v>3600000</v>
      </c>
      <c r="F24" s="13">
        <f t="shared" ref="F24:I24" si="0">+$E$7*$E$8*$E$9</f>
        <v>3600000</v>
      </c>
      <c r="G24" s="13">
        <f t="shared" si="0"/>
        <v>3600000</v>
      </c>
      <c r="H24" s="13">
        <f t="shared" si="0"/>
        <v>3600000</v>
      </c>
      <c r="I24" s="20">
        <f t="shared" si="0"/>
        <v>3600000</v>
      </c>
    </row>
    <row r="25" spans="2:9" x14ac:dyDescent="0.25">
      <c r="C25" s="19" t="s">
        <v>131</v>
      </c>
      <c r="D25" s="13"/>
      <c r="E25" s="13">
        <f>-$E$7*$E$8*$E$10</f>
        <v>-2100000</v>
      </c>
      <c r="F25" s="13">
        <f t="shared" ref="F25:I25" si="1">-$E$7*$E$8*$E$10</f>
        <v>-2100000</v>
      </c>
      <c r="G25" s="13">
        <f t="shared" si="1"/>
        <v>-2100000</v>
      </c>
      <c r="H25" s="13">
        <f t="shared" si="1"/>
        <v>-2100000</v>
      </c>
      <c r="I25" s="20">
        <f t="shared" si="1"/>
        <v>-2100000</v>
      </c>
    </row>
    <row r="26" spans="2:9" x14ac:dyDescent="0.25">
      <c r="C26" s="19" t="s">
        <v>132</v>
      </c>
      <c r="D26" s="13"/>
      <c r="E26" s="13">
        <f>-$E$11*$E$18</f>
        <v>-800000</v>
      </c>
      <c r="F26" s="13">
        <f t="shared" ref="F26:I26" si="2">-$E$11*$E$18</f>
        <v>-800000</v>
      </c>
      <c r="G26" s="13">
        <f t="shared" si="2"/>
        <v>-800000</v>
      </c>
      <c r="H26" s="13">
        <f t="shared" si="2"/>
        <v>-800000</v>
      </c>
      <c r="I26" s="20">
        <f t="shared" si="2"/>
        <v>-800000</v>
      </c>
    </row>
    <row r="27" spans="2:9" x14ac:dyDescent="0.25">
      <c r="C27" s="19" t="s">
        <v>52</v>
      </c>
      <c r="D27" s="13"/>
      <c r="E27" s="13">
        <f>-$E$12*$E$13</f>
        <v>-300000</v>
      </c>
      <c r="F27" s="13">
        <f t="shared" ref="F27:I27" si="3">-$E$12*$E$13</f>
        <v>-300000</v>
      </c>
      <c r="G27" s="13">
        <f t="shared" si="3"/>
        <v>-300000</v>
      </c>
      <c r="H27" s="13">
        <f t="shared" si="3"/>
        <v>-300000</v>
      </c>
      <c r="I27" s="20">
        <f t="shared" si="3"/>
        <v>-300000</v>
      </c>
    </row>
    <row r="28" spans="2:9" x14ac:dyDescent="0.25">
      <c r="C28" s="19" t="s">
        <v>23</v>
      </c>
      <c r="D28" s="13"/>
      <c r="E28" s="13">
        <f>-SUM(E24:E27)*$E$14</f>
        <v>-160000</v>
      </c>
      <c r="F28" s="13">
        <f t="shared" ref="F28:I28" si="4">-SUM(F24:F27)*$E$14</f>
        <v>-160000</v>
      </c>
      <c r="G28" s="13">
        <f t="shared" si="4"/>
        <v>-160000</v>
      </c>
      <c r="H28" s="13">
        <f t="shared" si="4"/>
        <v>-160000</v>
      </c>
      <c r="I28" s="20">
        <f t="shared" si="4"/>
        <v>-160000</v>
      </c>
    </row>
    <row r="29" spans="2:9" x14ac:dyDescent="0.25">
      <c r="C29" s="31" t="s">
        <v>28</v>
      </c>
      <c r="D29" s="32"/>
      <c r="E29" s="32">
        <f>SUM(E24:E28)</f>
        <v>240000</v>
      </c>
      <c r="F29" s="32">
        <f t="shared" ref="F29:I29" si="5">SUM(F24:F28)</f>
        <v>240000</v>
      </c>
      <c r="G29" s="32">
        <f t="shared" si="5"/>
        <v>240000</v>
      </c>
      <c r="H29" s="32">
        <f t="shared" si="5"/>
        <v>240000</v>
      </c>
      <c r="I29" s="33">
        <f t="shared" si="5"/>
        <v>240000</v>
      </c>
    </row>
    <row r="30" spans="2:9" x14ac:dyDescent="0.25">
      <c r="C30" s="14"/>
      <c r="D30" s="14"/>
      <c r="E30" s="14"/>
      <c r="F30" s="14"/>
      <c r="G30" s="14"/>
      <c r="H30" s="14"/>
      <c r="I30" s="14"/>
    </row>
    <row r="31" spans="2:9" x14ac:dyDescent="0.25">
      <c r="C31" s="14"/>
      <c r="D31" s="14"/>
      <c r="E31" s="14"/>
      <c r="F31" s="14"/>
      <c r="G31" s="14"/>
      <c r="H31" s="14"/>
      <c r="I31" s="14"/>
    </row>
    <row r="32" spans="2:9" x14ac:dyDescent="0.25">
      <c r="C32" s="36" t="s">
        <v>176</v>
      </c>
      <c r="D32" s="28" t="s">
        <v>34</v>
      </c>
      <c r="E32" s="28" t="s">
        <v>39</v>
      </c>
      <c r="F32" s="28" t="s">
        <v>40</v>
      </c>
      <c r="G32" s="28" t="s">
        <v>41</v>
      </c>
      <c r="H32" s="28" t="s">
        <v>42</v>
      </c>
      <c r="I32" s="29" t="s">
        <v>43</v>
      </c>
    </row>
    <row r="33" spans="2:9" x14ac:dyDescent="0.25">
      <c r="C33" s="19" t="s">
        <v>54</v>
      </c>
      <c r="D33" s="13"/>
      <c r="E33" s="13">
        <f t="shared" ref="E33:I33" si="6">+E29</f>
        <v>240000</v>
      </c>
      <c r="F33" s="13">
        <f t="shared" si="6"/>
        <v>240000</v>
      </c>
      <c r="G33" s="13">
        <f t="shared" si="6"/>
        <v>240000</v>
      </c>
      <c r="H33" s="13">
        <f t="shared" si="6"/>
        <v>240000</v>
      </c>
      <c r="I33" s="20">
        <f t="shared" si="6"/>
        <v>240000</v>
      </c>
    </row>
    <row r="34" spans="2:9" x14ac:dyDescent="0.25">
      <c r="C34" s="19" t="s">
        <v>52</v>
      </c>
      <c r="D34" s="13"/>
      <c r="E34" s="13">
        <f>-E27</f>
        <v>300000</v>
      </c>
      <c r="F34" s="13">
        <f>-F27</f>
        <v>300000</v>
      </c>
      <c r="G34" s="13">
        <f>-G27</f>
        <v>300000</v>
      </c>
      <c r="H34" s="13">
        <f>-H27</f>
        <v>300000</v>
      </c>
      <c r="I34" s="20">
        <f>-I27</f>
        <v>300000</v>
      </c>
    </row>
    <row r="35" spans="2:9" x14ac:dyDescent="0.25">
      <c r="C35" s="19" t="s">
        <v>19</v>
      </c>
      <c r="D35" s="140">
        <f>-E12</f>
        <v>-1500000</v>
      </c>
      <c r="E35" s="13"/>
      <c r="F35" s="13"/>
      <c r="G35" s="13"/>
      <c r="H35" s="13"/>
      <c r="I35" s="20"/>
    </row>
    <row r="36" spans="2:9" x14ac:dyDescent="0.25">
      <c r="C36" s="31" t="s">
        <v>21</v>
      </c>
      <c r="D36" s="32">
        <f>SUM(D33:D35)</f>
        <v>-1500000</v>
      </c>
      <c r="E36" s="32">
        <f t="shared" ref="E36:I36" si="7">SUM(E33:E35)</f>
        <v>540000</v>
      </c>
      <c r="F36" s="32">
        <f t="shared" si="7"/>
        <v>540000</v>
      </c>
      <c r="G36" s="32">
        <f t="shared" si="7"/>
        <v>540000</v>
      </c>
      <c r="H36" s="32">
        <f t="shared" si="7"/>
        <v>540000</v>
      </c>
      <c r="I36" s="33">
        <f t="shared" si="7"/>
        <v>540000</v>
      </c>
    </row>
    <row r="38" spans="2:9" x14ac:dyDescent="0.25">
      <c r="C38" s="168" t="s">
        <v>27</v>
      </c>
      <c r="D38" s="68">
        <f>+D36+NPV($E$15,E36:I36)</f>
        <v>399304.88123306166</v>
      </c>
    </row>
    <row r="39" spans="2:9" x14ac:dyDescent="0.25">
      <c r="B39" s="13"/>
      <c r="C39" s="50"/>
      <c r="D39" s="13"/>
      <c r="E39" s="13"/>
      <c r="F39" s="13"/>
      <c r="G39" s="13"/>
      <c r="H39" s="13"/>
      <c r="I39" s="13"/>
    </row>
    <row r="40" spans="2:9" x14ac:dyDescent="0.25">
      <c r="B40" s="140" t="s">
        <v>106</v>
      </c>
      <c r="C40" s="588" t="s">
        <v>401</v>
      </c>
      <c r="D40" s="589"/>
      <c r="E40" s="589"/>
      <c r="F40" s="589"/>
      <c r="G40" s="590"/>
      <c r="H40" s="98"/>
      <c r="I40" s="98"/>
    </row>
    <row r="41" spans="2:9" x14ac:dyDescent="0.25">
      <c r="B41" s="13"/>
      <c r="C41" s="169"/>
      <c r="D41" s="170" t="s">
        <v>134</v>
      </c>
      <c r="E41" s="170" t="s">
        <v>135</v>
      </c>
      <c r="F41" s="170" t="s">
        <v>132</v>
      </c>
      <c r="G41" s="170" t="s">
        <v>19</v>
      </c>
      <c r="H41" s="98"/>
      <c r="I41" s="98"/>
    </row>
    <row r="42" spans="2:9" x14ac:dyDescent="0.25">
      <c r="B42" s="13"/>
      <c r="C42" s="99">
        <v>1.3</v>
      </c>
      <c r="D42" s="69">
        <v>2678470.7400000002</v>
      </c>
      <c r="E42" s="69">
        <v>-930208.53563008143</v>
      </c>
      <c r="F42" s="69">
        <v>-107176.42</v>
      </c>
      <c r="G42" s="69">
        <v>75925.210000000006</v>
      </c>
      <c r="H42" s="13"/>
      <c r="I42" s="13"/>
    </row>
    <row r="43" spans="2:9" x14ac:dyDescent="0.25">
      <c r="B43" s="13"/>
      <c r="C43" s="99">
        <v>1.2</v>
      </c>
      <c r="D43" s="69">
        <v>1918748.79</v>
      </c>
      <c r="E43" s="69">
        <v>-487037.39667570055</v>
      </c>
      <c r="F43" s="69">
        <v>61650.879999999997</v>
      </c>
      <c r="G43" s="69">
        <v>183718.43</v>
      </c>
      <c r="H43" s="13"/>
      <c r="I43" s="13"/>
    </row>
    <row r="44" spans="2:9" x14ac:dyDescent="0.25">
      <c r="B44" s="13"/>
      <c r="C44" s="99">
        <v>1.1000000000000001</v>
      </c>
      <c r="D44" s="69">
        <v>1159026.83</v>
      </c>
      <c r="E44" s="69">
        <v>-43866.26</v>
      </c>
      <c r="F44" s="69">
        <v>230477.78</v>
      </c>
      <c r="G44" s="69">
        <v>291511.65999999997</v>
      </c>
      <c r="H44" s="13"/>
      <c r="I44" s="13"/>
    </row>
    <row r="45" spans="2:9" x14ac:dyDescent="0.25">
      <c r="B45" s="13"/>
      <c r="C45" s="99">
        <v>1</v>
      </c>
      <c r="D45" s="69">
        <v>399304.88</v>
      </c>
      <c r="E45" s="69">
        <v>399304.88</v>
      </c>
      <c r="F45" s="69">
        <v>399304.88</v>
      </c>
      <c r="G45" s="69">
        <v>399304.88</v>
      </c>
      <c r="H45" s="13"/>
      <c r="I45" s="13"/>
    </row>
    <row r="46" spans="2:9" x14ac:dyDescent="0.25">
      <c r="B46" s="13"/>
      <c r="C46" s="99">
        <v>0.9</v>
      </c>
      <c r="D46" s="69">
        <v>-360417.07</v>
      </c>
      <c r="E46" s="69">
        <v>842476.02</v>
      </c>
      <c r="F46" s="69">
        <v>568131.98</v>
      </c>
      <c r="G46" s="69">
        <v>507098.11</v>
      </c>
      <c r="H46" s="13"/>
      <c r="I46" s="13"/>
    </row>
    <row r="47" spans="2:9" x14ac:dyDescent="0.25">
      <c r="B47" s="13"/>
      <c r="C47" s="99">
        <v>0.8</v>
      </c>
      <c r="D47" s="141">
        <v>-1120139.0237533876</v>
      </c>
      <c r="E47" s="69">
        <v>1285647.1599999999</v>
      </c>
      <c r="F47" s="69">
        <v>736959.08</v>
      </c>
      <c r="G47" s="69">
        <v>614891.32999999996</v>
      </c>
      <c r="H47" s="13"/>
      <c r="I47" s="13"/>
    </row>
    <row r="48" spans="2:9" x14ac:dyDescent="0.25">
      <c r="B48" s="13"/>
      <c r="C48" s="99">
        <v>0.7</v>
      </c>
      <c r="D48" s="141">
        <v>-1879860.9762466124</v>
      </c>
      <c r="E48" s="69">
        <v>1728818.3</v>
      </c>
      <c r="F48" s="69">
        <v>905786.18</v>
      </c>
      <c r="G48" s="69">
        <v>722684.56</v>
      </c>
      <c r="H48" s="13"/>
      <c r="I48" s="13"/>
    </row>
    <row r="49" spans="2:9" x14ac:dyDescent="0.25">
      <c r="B49" s="13"/>
      <c r="H49" s="13"/>
      <c r="I49" s="13"/>
    </row>
    <row r="50" spans="2:9" x14ac:dyDescent="0.25">
      <c r="B50" s="13"/>
      <c r="C50" s="588" t="s">
        <v>299</v>
      </c>
      <c r="D50" s="589"/>
      <c r="E50" s="589"/>
      <c r="F50" s="589"/>
      <c r="G50" s="590"/>
      <c r="H50" s="13"/>
      <c r="I50" s="13"/>
    </row>
    <row r="51" spans="2:9" x14ac:dyDescent="0.25">
      <c r="B51" s="13"/>
      <c r="C51" s="169"/>
      <c r="D51" s="105" t="s">
        <v>134</v>
      </c>
      <c r="E51" s="105" t="s">
        <v>135</v>
      </c>
      <c r="F51" s="105" t="s">
        <v>132</v>
      </c>
      <c r="G51" s="105" t="s">
        <v>19</v>
      </c>
      <c r="H51" s="13"/>
      <c r="I51" s="13"/>
    </row>
    <row r="52" spans="2:9" x14ac:dyDescent="0.25">
      <c r="B52" s="13"/>
      <c r="C52" s="99">
        <v>1.3</v>
      </c>
      <c r="D52" s="99">
        <f>+(D42*100)/$D$45</f>
        <v>670.7833723444603</v>
      </c>
      <c r="E52" s="99">
        <f>+(E42*100)/$E$45</f>
        <v>-232.95696652394568</v>
      </c>
      <c r="F52" s="99">
        <f>+(F42*100)/$F$45</f>
        <v>-26.840748853357365</v>
      </c>
      <c r="G52" s="99">
        <f>+(G42*100)/$G$45</f>
        <v>19.014345629835532</v>
      </c>
      <c r="H52" s="13"/>
      <c r="I52" s="13"/>
    </row>
    <row r="53" spans="2:9" x14ac:dyDescent="0.25">
      <c r="C53" s="99">
        <v>1.2</v>
      </c>
      <c r="D53" s="99">
        <f t="shared" ref="D53:D58" si="8">+(D43*100)/$D$45</f>
        <v>480.52224906442416</v>
      </c>
      <c r="E53" s="99">
        <f t="shared" ref="E53:E58" si="9">+(E43*100)/$E$45</f>
        <v>-121.9713109130298</v>
      </c>
      <c r="F53" s="99">
        <f t="shared" ref="F53:F58" si="10">+(F43*100)/$F$45</f>
        <v>15.439550851469685</v>
      </c>
      <c r="G53" s="99">
        <f t="shared" ref="G53:G58" si="11">+(G43*100)/$G$45</f>
        <v>46.009562918439663</v>
      </c>
    </row>
    <row r="54" spans="2:9" x14ac:dyDescent="0.25">
      <c r="C54" s="99">
        <v>1.1000000000000001</v>
      </c>
      <c r="D54" s="99">
        <f t="shared" si="8"/>
        <v>290.26112328003603</v>
      </c>
      <c r="E54" s="99">
        <f t="shared" si="9"/>
        <v>-10.985655872775709</v>
      </c>
      <c r="F54" s="99">
        <f t="shared" si="10"/>
        <v>57.719750382214208</v>
      </c>
      <c r="G54" s="99">
        <f t="shared" si="11"/>
        <v>73.004782711395848</v>
      </c>
    </row>
    <row r="55" spans="2:9" x14ac:dyDescent="0.25">
      <c r="C55" s="99">
        <v>1</v>
      </c>
      <c r="D55" s="99">
        <f t="shared" si="8"/>
        <v>100</v>
      </c>
      <c r="E55" s="99">
        <f t="shared" si="9"/>
        <v>100</v>
      </c>
      <c r="F55" s="99">
        <f t="shared" si="10"/>
        <v>100</v>
      </c>
      <c r="G55" s="99">
        <f t="shared" si="11"/>
        <v>100</v>
      </c>
    </row>
    <row r="56" spans="2:9" x14ac:dyDescent="0.25">
      <c r="C56" s="99">
        <v>0.9</v>
      </c>
      <c r="D56" s="99">
        <f t="shared" si="8"/>
        <v>-90.261123280036045</v>
      </c>
      <c r="E56" s="99">
        <f t="shared" si="9"/>
        <v>210.98565587277571</v>
      </c>
      <c r="F56" s="99">
        <f t="shared" si="10"/>
        <v>142.28024961778578</v>
      </c>
      <c r="G56" s="99">
        <f t="shared" si="11"/>
        <v>126.99521979295619</v>
      </c>
    </row>
    <row r="57" spans="2:9" x14ac:dyDescent="0.25">
      <c r="C57" s="99">
        <v>0.8</v>
      </c>
      <c r="D57" s="99">
        <f t="shared" si="8"/>
        <v>-280.52224750005252</v>
      </c>
      <c r="E57" s="99">
        <f t="shared" si="9"/>
        <v>321.97131174555136</v>
      </c>
      <c r="F57" s="99">
        <f t="shared" si="10"/>
        <v>184.56049923557157</v>
      </c>
      <c r="G57" s="99">
        <f t="shared" si="11"/>
        <v>153.99043708156032</v>
      </c>
    </row>
    <row r="58" spans="2:9" x14ac:dyDescent="0.25">
      <c r="C58" s="99">
        <v>0.7</v>
      </c>
      <c r="D58" s="99">
        <f t="shared" si="8"/>
        <v>-470.78337140447979</v>
      </c>
      <c r="E58" s="99">
        <f t="shared" si="9"/>
        <v>432.9569676183271</v>
      </c>
      <c r="F58" s="99">
        <f t="shared" si="10"/>
        <v>226.84074885335735</v>
      </c>
      <c r="G58" s="99">
        <f t="shared" si="11"/>
        <v>180.98565687451654</v>
      </c>
    </row>
    <row r="60" spans="2:9" x14ac:dyDescent="0.25">
      <c r="B60" s="11" t="s">
        <v>107</v>
      </c>
      <c r="C60" s="36"/>
      <c r="D60" s="28" t="s">
        <v>191</v>
      </c>
      <c r="E60" s="28" t="s">
        <v>267</v>
      </c>
      <c r="F60" s="29" t="s">
        <v>192</v>
      </c>
      <c r="G60" s="142"/>
    </row>
    <row r="61" spans="2:9" x14ac:dyDescent="0.25">
      <c r="C61" s="34" t="s">
        <v>268</v>
      </c>
      <c r="D61" s="173">
        <f>+D6</f>
        <v>0.3</v>
      </c>
      <c r="E61" s="173">
        <f t="shared" ref="E61:F61" si="12">+E6</f>
        <v>0.5</v>
      </c>
      <c r="F61" s="174">
        <f t="shared" si="12"/>
        <v>0.2</v>
      </c>
    </row>
    <row r="62" spans="2:9" x14ac:dyDescent="0.25">
      <c r="C62" s="23" t="s">
        <v>27</v>
      </c>
      <c r="D62" s="171">
        <f>+'Escenario Ejercicio 5'!G13</f>
        <v>-829615.72154995997</v>
      </c>
      <c r="E62" s="171">
        <f>+'Escenario Ejercicio 5'!E13</f>
        <v>399304.88123306201</v>
      </c>
      <c r="F62" s="172">
        <f>+'Escenario Ejercicio 5'!F13</f>
        <v>1561468.4346719999</v>
      </c>
    </row>
    <row r="64" spans="2:9" x14ac:dyDescent="0.25">
      <c r="C64" s="168" t="s">
        <v>92</v>
      </c>
      <c r="D64" s="30">
        <f>+D61*D62+E61*E62+F61*F62</f>
        <v>263061.41108594299</v>
      </c>
    </row>
    <row r="66" spans="2:33" x14ac:dyDescent="0.25">
      <c r="B66" s="11" t="s">
        <v>111</v>
      </c>
      <c r="C66" s="176"/>
      <c r="D66" s="183">
        <f>+(D62-$D64)^2*D61</f>
        <v>358182994855.62567</v>
      </c>
      <c r="E66" s="186">
        <f>+(E62-$D64)^2*E61</f>
        <v>9281141578.8644562</v>
      </c>
      <c r="F66" s="183">
        <f>+(F62-$D64)^2*F61</f>
        <v>337172159779.52069</v>
      </c>
    </row>
    <row r="67" spans="2:33" x14ac:dyDescent="0.25">
      <c r="C67" s="184" t="s">
        <v>128</v>
      </c>
      <c r="D67" s="181"/>
      <c r="E67" s="181"/>
      <c r="F67" s="184">
        <f>SUM(D66:F66)</f>
        <v>704636296214.01074</v>
      </c>
    </row>
    <row r="68" spans="2:33" x14ac:dyDescent="0.25">
      <c r="C68" s="184" t="s">
        <v>300</v>
      </c>
      <c r="D68" s="181"/>
      <c r="E68" s="181"/>
      <c r="F68" s="184">
        <f>+F67^0.5</f>
        <v>839426.17079407931</v>
      </c>
    </row>
    <row r="69" spans="2:33" x14ac:dyDescent="0.25">
      <c r="C69" s="185" t="s">
        <v>93</v>
      </c>
      <c r="D69" s="179"/>
      <c r="E69" s="179"/>
      <c r="F69" s="184">
        <f>+F68/D64</f>
        <v>3.1909893865802923</v>
      </c>
    </row>
    <row r="70" spans="2:33" x14ac:dyDescent="0.25">
      <c r="J70" s="100"/>
    </row>
    <row r="71" spans="2:33" x14ac:dyDescent="0.25">
      <c r="W71" s="46"/>
      <c r="X71" s="46"/>
      <c r="AF71" s="46"/>
      <c r="AG71" s="46"/>
    </row>
    <row r="72" spans="2:33" x14ac:dyDescent="0.25">
      <c r="C72" s="36"/>
      <c r="D72" s="192" t="s">
        <v>370</v>
      </c>
      <c r="E72" s="192" t="s">
        <v>371</v>
      </c>
      <c r="F72" s="192" t="s">
        <v>369</v>
      </c>
      <c r="G72" s="104" t="s">
        <v>92</v>
      </c>
      <c r="H72" s="192" t="s">
        <v>372</v>
      </c>
      <c r="I72" s="192" t="s">
        <v>373</v>
      </c>
      <c r="J72" s="193" t="s">
        <v>374</v>
      </c>
      <c r="W72" s="46"/>
      <c r="X72" s="46"/>
      <c r="AF72" s="46"/>
      <c r="AG72" s="46"/>
    </row>
    <row r="73" spans="2:33" x14ac:dyDescent="0.25">
      <c r="C73" s="198">
        <v>0.68259999999999998</v>
      </c>
      <c r="D73" s="199"/>
      <c r="E73" s="200"/>
      <c r="F73" s="199">
        <f>+G73-F68</f>
        <v>-576364.75970813632</v>
      </c>
      <c r="G73" s="199">
        <f>+D64</f>
        <v>263061.41108594299</v>
      </c>
      <c r="H73" s="199">
        <f>+G73+F68</f>
        <v>1102487.5818800223</v>
      </c>
      <c r="I73" s="200"/>
      <c r="J73" s="201"/>
      <c r="W73" s="46"/>
      <c r="X73" s="46"/>
      <c r="AF73" s="46"/>
      <c r="AG73" s="46"/>
    </row>
    <row r="74" spans="2:33" x14ac:dyDescent="0.25">
      <c r="C74" s="198">
        <v>0.95440000000000003</v>
      </c>
      <c r="D74" s="200"/>
      <c r="E74" s="199">
        <f>+G73-2*F68</f>
        <v>-1415790.9305022156</v>
      </c>
      <c r="F74" s="199"/>
      <c r="G74" s="199"/>
      <c r="H74" s="199"/>
      <c r="I74" s="199">
        <f>+G73+2*F68</f>
        <v>1941913.7526741016</v>
      </c>
      <c r="J74" s="202"/>
      <c r="W74" s="46"/>
      <c r="X74" s="46"/>
      <c r="AF74" s="46"/>
      <c r="AG74" s="46"/>
    </row>
    <row r="75" spans="2:33" x14ac:dyDescent="0.25">
      <c r="C75" s="197">
        <v>0.99739999999999995</v>
      </c>
      <c r="D75" s="43">
        <f>+G73-3*F68</f>
        <v>-2255217.1012962954</v>
      </c>
      <c r="E75" s="43"/>
      <c r="F75" s="43"/>
      <c r="G75" s="43"/>
      <c r="H75" s="43"/>
      <c r="I75" s="43"/>
      <c r="J75" s="122">
        <f>+G73+3*F68</f>
        <v>2781339.9234681809</v>
      </c>
      <c r="W75" s="46"/>
      <c r="X75" s="46"/>
      <c r="AF75" s="46"/>
      <c r="AG75" s="46"/>
    </row>
    <row r="76" spans="2:33" x14ac:dyDescent="0.25">
      <c r="W76" s="46"/>
      <c r="X76" s="46"/>
      <c r="AF76" s="46"/>
      <c r="AG76" s="46"/>
    </row>
    <row r="77" spans="2:33" x14ac:dyDescent="0.25">
      <c r="W77" s="46"/>
      <c r="X77" s="46"/>
      <c r="AF77" s="46"/>
      <c r="AG77" s="46"/>
    </row>
    <row r="78" spans="2:33" x14ac:dyDescent="0.25">
      <c r="B78" s="11" t="s">
        <v>255</v>
      </c>
      <c r="C78" s="77" t="s">
        <v>428</v>
      </c>
      <c r="D78" s="187">
        <f>+D64/F68</f>
        <v>0.3133824274707715</v>
      </c>
      <c r="W78" s="46"/>
      <c r="X78" s="46"/>
      <c r="AF78" s="46"/>
      <c r="AG78" s="46"/>
    </row>
    <row r="79" spans="2:33" x14ac:dyDescent="0.25">
      <c r="C79" s="188" t="s">
        <v>317</v>
      </c>
      <c r="D79" s="189">
        <f>+D78*0.3413</f>
        <v>0.10695742249577431</v>
      </c>
      <c r="W79" s="46"/>
      <c r="X79" s="46"/>
      <c r="AF79" s="46"/>
      <c r="AG79" s="46"/>
    </row>
    <row r="80" spans="2:33" x14ac:dyDescent="0.25">
      <c r="C80" s="190" t="s">
        <v>301</v>
      </c>
      <c r="D80" s="191">
        <f>0.5+D79</f>
        <v>0.60695742249577433</v>
      </c>
      <c r="X80" s="144"/>
      <c r="AF80" s="46"/>
      <c r="AG80" s="46"/>
    </row>
    <row r="83" spans="3:32" x14ac:dyDescent="0.25">
      <c r="Z83" s="46"/>
      <c r="AA83" s="46"/>
      <c r="AB83" s="46"/>
      <c r="AC83" s="46"/>
      <c r="AD83" s="46"/>
      <c r="AE83" s="46"/>
      <c r="AF83" s="46"/>
    </row>
    <row r="84" spans="3:32" x14ac:dyDescent="0.25">
      <c r="Z84" s="46"/>
      <c r="AA84" s="46"/>
      <c r="AB84" s="46"/>
      <c r="AC84" s="46"/>
      <c r="AD84" s="46"/>
      <c r="AE84" s="46"/>
      <c r="AF84" s="46"/>
    </row>
    <row r="85" spans="3:32" x14ac:dyDescent="0.25">
      <c r="C85" s="46"/>
      <c r="D85" s="46"/>
      <c r="E85" s="46"/>
      <c r="F85" s="46"/>
      <c r="G85" s="145" t="s">
        <v>385</v>
      </c>
      <c r="H85" s="46"/>
      <c r="I85" s="46"/>
      <c r="Z85" s="46"/>
      <c r="AA85" s="46"/>
      <c r="AB85" s="46"/>
      <c r="AC85" s="46"/>
      <c r="AD85" s="46"/>
      <c r="AE85" s="46"/>
      <c r="AF85" s="46"/>
    </row>
    <row r="86" spans="3:32" x14ac:dyDescent="0.25">
      <c r="C86" s="46"/>
      <c r="D86" s="46"/>
      <c r="E86" s="46"/>
      <c r="F86" s="46"/>
      <c r="G86" s="46"/>
      <c r="H86" s="46"/>
      <c r="I86" s="46"/>
      <c r="Z86" s="46"/>
      <c r="AA86" s="46"/>
      <c r="AB86" s="46"/>
      <c r="AC86" s="46"/>
      <c r="AD86" s="46"/>
      <c r="AE86" s="46"/>
      <c r="AF86" s="46"/>
    </row>
    <row r="87" spans="3:32" x14ac:dyDescent="0.25">
      <c r="C87" s="46"/>
      <c r="D87" s="46"/>
      <c r="E87" s="46"/>
      <c r="F87" s="46"/>
      <c r="G87" s="146" t="s">
        <v>429</v>
      </c>
      <c r="H87" s="46"/>
      <c r="I87" s="46"/>
      <c r="Z87" s="46"/>
      <c r="AA87" s="46"/>
      <c r="AB87" s="46"/>
      <c r="AC87" s="46"/>
      <c r="AD87" s="46"/>
      <c r="AE87" s="46"/>
      <c r="AF87" s="46"/>
    </row>
    <row r="88" spans="3:32" x14ac:dyDescent="0.25">
      <c r="C88" s="46"/>
      <c r="D88" s="46"/>
      <c r="E88" s="46"/>
      <c r="F88" s="46"/>
      <c r="G88" s="46"/>
      <c r="H88" s="46"/>
      <c r="I88" s="46"/>
      <c r="Z88" s="46"/>
      <c r="AA88" s="46"/>
      <c r="AB88" s="46"/>
      <c r="AC88" s="46"/>
      <c r="AD88" s="146"/>
      <c r="AE88" s="46"/>
      <c r="AF88" s="46"/>
    </row>
    <row r="89" spans="3:32" x14ac:dyDescent="0.25">
      <c r="C89" s="46"/>
      <c r="D89" s="46"/>
      <c r="E89" s="46"/>
      <c r="F89" s="46"/>
      <c r="G89" s="46"/>
      <c r="H89" s="46"/>
      <c r="I89" s="46"/>
      <c r="Z89" s="46"/>
      <c r="AA89" s="46"/>
      <c r="AB89" s="46"/>
      <c r="AC89" s="46"/>
      <c r="AD89" s="46"/>
      <c r="AE89" s="46"/>
      <c r="AF89" s="46"/>
    </row>
    <row r="90" spans="3:32" x14ac:dyDescent="0.25">
      <c r="C90" s="46"/>
      <c r="D90" s="46"/>
      <c r="E90" s="46"/>
      <c r="F90" s="46"/>
      <c r="G90" s="46"/>
      <c r="H90" s="46"/>
      <c r="I90" s="46"/>
      <c r="Z90" s="46"/>
      <c r="AA90" s="147"/>
      <c r="AB90" s="147"/>
      <c r="AC90" s="46"/>
      <c r="AD90" s="46"/>
      <c r="AE90" s="46"/>
      <c r="AF90" s="46"/>
    </row>
    <row r="91" spans="3:32" x14ac:dyDescent="0.25">
      <c r="C91" s="46"/>
      <c r="D91" s="46"/>
      <c r="E91" s="46"/>
      <c r="F91" s="46"/>
      <c r="G91" s="46"/>
      <c r="H91" s="46"/>
      <c r="I91" s="46"/>
      <c r="Z91" s="46"/>
      <c r="AA91" s="147"/>
      <c r="AB91" s="147"/>
      <c r="AC91" s="46"/>
      <c r="AD91" s="46"/>
      <c r="AE91" s="46"/>
      <c r="AF91" s="46"/>
    </row>
    <row r="92" spans="3:32" x14ac:dyDescent="0.25">
      <c r="C92" s="46"/>
      <c r="D92" s="46"/>
      <c r="E92" s="46"/>
      <c r="F92" s="46"/>
      <c r="G92" s="46"/>
      <c r="H92" s="46"/>
      <c r="I92" s="46"/>
      <c r="Z92" s="46"/>
      <c r="AA92" s="147"/>
      <c r="AB92" s="147"/>
      <c r="AC92" s="46"/>
      <c r="AD92" s="46"/>
      <c r="AE92" s="46"/>
      <c r="AF92" s="46"/>
    </row>
    <row r="93" spans="3:32" x14ac:dyDescent="0.25">
      <c r="C93" s="46"/>
      <c r="D93" s="46"/>
      <c r="E93" s="46"/>
      <c r="F93" s="46"/>
      <c r="G93" s="46"/>
      <c r="H93" s="46"/>
      <c r="I93" s="46"/>
      <c r="Z93" s="46"/>
      <c r="AA93" s="147"/>
      <c r="AB93" s="147"/>
      <c r="AC93" s="46"/>
      <c r="AD93" s="46"/>
      <c r="AE93" s="46"/>
      <c r="AF93" s="46"/>
    </row>
    <row r="94" spans="3:32" x14ac:dyDescent="0.25">
      <c r="C94" s="144"/>
      <c r="D94" s="144"/>
      <c r="E94" s="600">
        <v>263.10000000000002</v>
      </c>
      <c r="F94" s="600"/>
      <c r="G94" s="144"/>
      <c r="H94" s="144"/>
      <c r="I94" s="144"/>
      <c r="Z94" s="46"/>
      <c r="AA94" s="147"/>
      <c r="AB94" s="147"/>
      <c r="AC94" s="46"/>
      <c r="AD94" s="46"/>
      <c r="AE94" s="46"/>
      <c r="AF94" s="46"/>
    </row>
    <row r="95" spans="3:32" x14ac:dyDescent="0.25">
      <c r="C95" s="148">
        <v>-1415.8</v>
      </c>
      <c r="D95" s="149">
        <v>-576.4</v>
      </c>
      <c r="E95" s="150">
        <v>0</v>
      </c>
      <c r="F95" s="148">
        <v>1102.5</v>
      </c>
      <c r="H95" s="144"/>
      <c r="I95" s="46"/>
      <c r="Z95" s="144"/>
      <c r="AA95" s="144"/>
      <c r="AB95" s="598"/>
      <c r="AC95" s="599"/>
      <c r="AD95" s="144"/>
      <c r="AE95" s="144"/>
      <c r="AF95" s="144"/>
    </row>
    <row r="96" spans="3:32" x14ac:dyDescent="0.25">
      <c r="C96" s="46"/>
      <c r="D96" s="151" t="s">
        <v>383</v>
      </c>
      <c r="E96" s="46"/>
      <c r="F96" s="46"/>
      <c r="G96" s="152" t="s">
        <v>384</v>
      </c>
      <c r="H96" s="46"/>
      <c r="I96" s="46"/>
      <c r="Z96" s="153"/>
      <c r="AA96" s="149"/>
      <c r="AB96" s="150"/>
      <c r="AC96" s="150"/>
      <c r="AD96" s="154"/>
      <c r="AE96" s="46"/>
      <c r="AF96" s="46"/>
    </row>
    <row r="97" spans="3:32" x14ac:dyDescent="0.25">
      <c r="C97" s="155"/>
      <c r="D97" s="596"/>
      <c r="E97" s="596"/>
      <c r="F97" s="596"/>
      <c r="G97" s="596"/>
      <c r="H97" s="156"/>
      <c r="I97" s="147"/>
      <c r="Z97" s="46"/>
      <c r="AA97" s="149"/>
      <c r="AB97" s="144"/>
      <c r="AC97" s="144"/>
      <c r="AD97" s="144"/>
      <c r="AE97" s="46"/>
      <c r="AF97" s="46"/>
    </row>
    <row r="98" spans="3:32" x14ac:dyDescent="0.25">
      <c r="C98" s="155"/>
      <c r="D98" s="157"/>
      <c r="E98" s="157"/>
      <c r="F98" s="597">
        <v>0.5</v>
      </c>
      <c r="G98" s="596"/>
      <c r="H98" s="596"/>
      <c r="I98" s="147"/>
    </row>
    <row r="99" spans="3:32" x14ac:dyDescent="0.25">
      <c r="C99" s="158"/>
      <c r="D99" s="158"/>
      <c r="E99" s="159">
        <v>0.34129999999999999</v>
      </c>
      <c r="I99" s="156"/>
    </row>
  </sheetData>
  <sheetProtection algorithmName="SHA-512" hashValue="kVEYNn2VDKyXtRRTdCb2yERfVci9UBoedDZTbHaDmW1YxQZi4Tpg0hNJqMnAJzSfTKGEM3aCGbX0C/UogmlYdg==" saltValue="0k5uvWHH0tlWFkrprn7X6g==" spinCount="100000" sheet="1" objects="1" scenarios="1"/>
  <scenarios current="0" show="0" sqref="C31">
    <scenario name="optimista" locked="1" count="5" user="usuario" comment="Creado por usuario el 9/04/2020">
      <inputCells r="E7" val="130000" numFmtId="3"/>
      <inputCells r="E8" val="0.27" numFmtId="9"/>
      <inputCells r="E9" val="125" numFmtId="4"/>
      <inputCells r="E10" val="68" numFmtId="4"/>
      <inputCells r="E11" val="750000" numFmtId="4"/>
    </scenario>
    <scenario name="pesimista" locked="1" count="5" user="usuario" comment="Creado por usuario el 9/04/2020">
      <inputCells r="E7" val="110000" numFmtId="3"/>
      <inputCells r="E8" val="0.22" numFmtId="9"/>
      <inputCells r="E9" val="115" numFmtId="4"/>
      <inputCells r="E10" val="72" numFmtId="4"/>
      <inputCells r="E11" val="850000" numFmtId="4"/>
    </scenario>
  </scenarios>
  <mergeCells count="9">
    <mergeCell ref="C1:J1"/>
    <mergeCell ref="D97:E97"/>
    <mergeCell ref="F97:G97"/>
    <mergeCell ref="F98:H98"/>
    <mergeCell ref="AB95:AC95"/>
    <mergeCell ref="C40:G40"/>
    <mergeCell ref="C50:G50"/>
    <mergeCell ref="E94:F94"/>
    <mergeCell ref="C3:F4"/>
  </mergeCells>
  <pageMargins left="0.7" right="0.7" top="0.75" bottom="0.75" header="0.3" footer="0.3"/>
  <pageSetup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C1:H16"/>
  <sheetViews>
    <sheetView showGridLines="0" zoomScaleNormal="100" workbookViewId="0">
      <selection activeCell="G18" sqref="G18"/>
    </sheetView>
  </sheetViews>
  <sheetFormatPr baseColWidth="10" defaultColWidth="11.5546875" defaultRowHeight="13.8" outlineLevelRow="1" outlineLevelCol="1" x14ac:dyDescent="0.25"/>
  <cols>
    <col min="1" max="3" width="11.5546875" style="204"/>
    <col min="4" max="4" width="11.44140625" style="204" customWidth="1"/>
    <col min="5" max="5" width="15.6640625" style="204" customWidth="1" outlineLevel="1"/>
    <col min="6" max="7" width="14.5546875" style="204" bestFit="1" customWidth="1" outlineLevel="1"/>
    <col min="8" max="16384" width="11.5546875" style="204"/>
  </cols>
  <sheetData>
    <row r="1" spans="3:8" ht="19.95" customHeight="1" x14ac:dyDescent="0.25">
      <c r="C1" s="601" t="s">
        <v>430</v>
      </c>
      <c r="D1" s="601"/>
      <c r="E1" s="601"/>
      <c r="F1" s="601"/>
      <c r="G1" s="601"/>
      <c r="H1" s="601"/>
    </row>
    <row r="3" spans="3:8" x14ac:dyDescent="0.25">
      <c r="C3" s="212" t="s">
        <v>283</v>
      </c>
      <c r="D3" s="213"/>
      <c r="E3" s="214"/>
      <c r="F3" s="214"/>
      <c r="G3" s="215"/>
    </row>
    <row r="4" spans="3:8" collapsed="1" x14ac:dyDescent="0.25">
      <c r="C4" s="208"/>
      <c r="D4" s="209"/>
      <c r="E4" s="210" t="s">
        <v>190</v>
      </c>
      <c r="F4" s="210" t="s">
        <v>192</v>
      </c>
      <c r="G4" s="211" t="s">
        <v>191</v>
      </c>
    </row>
    <row r="5" spans="3:8" ht="41.4" hidden="1" outlineLevel="1" x14ac:dyDescent="0.25">
      <c r="C5" s="216"/>
      <c r="D5" s="205"/>
      <c r="E5" s="206"/>
      <c r="F5" s="207" t="s">
        <v>282</v>
      </c>
      <c r="G5" s="217" t="s">
        <v>282</v>
      </c>
    </row>
    <row r="6" spans="3:8" x14ac:dyDescent="0.25">
      <c r="C6" s="271" t="s">
        <v>194</v>
      </c>
      <c r="D6" s="272"/>
      <c r="E6" s="273"/>
      <c r="F6" s="273"/>
      <c r="G6" s="274"/>
    </row>
    <row r="7" spans="3:8" outlineLevel="1" x14ac:dyDescent="0.25">
      <c r="C7" s="260"/>
      <c r="D7" s="261" t="s">
        <v>276</v>
      </c>
      <c r="E7" s="275">
        <v>120000</v>
      </c>
      <c r="F7" s="276">
        <v>130000</v>
      </c>
      <c r="G7" s="277">
        <v>110000</v>
      </c>
    </row>
    <row r="8" spans="3:8" outlineLevel="1" x14ac:dyDescent="0.25">
      <c r="C8" s="260"/>
      <c r="D8" s="261" t="s">
        <v>277</v>
      </c>
      <c r="E8" s="278">
        <v>0.25</v>
      </c>
      <c r="F8" s="279">
        <v>0.27</v>
      </c>
      <c r="G8" s="280">
        <v>0.22</v>
      </c>
    </row>
    <row r="9" spans="3:8" outlineLevel="1" x14ac:dyDescent="0.25">
      <c r="C9" s="260"/>
      <c r="D9" s="261" t="s">
        <v>278</v>
      </c>
      <c r="E9" s="143">
        <v>120</v>
      </c>
      <c r="F9" s="281">
        <v>125</v>
      </c>
      <c r="G9" s="282">
        <v>115</v>
      </c>
    </row>
    <row r="10" spans="3:8" outlineLevel="1" x14ac:dyDescent="0.25">
      <c r="C10" s="260"/>
      <c r="D10" s="261" t="s">
        <v>279</v>
      </c>
      <c r="E10" s="143">
        <v>70</v>
      </c>
      <c r="F10" s="281">
        <v>68</v>
      </c>
      <c r="G10" s="282">
        <v>72</v>
      </c>
    </row>
    <row r="11" spans="3:8" outlineLevel="1" x14ac:dyDescent="0.25">
      <c r="C11" s="260"/>
      <c r="D11" s="261" t="s">
        <v>280</v>
      </c>
      <c r="E11" s="143">
        <v>800000</v>
      </c>
      <c r="F11" s="281">
        <v>750000</v>
      </c>
      <c r="G11" s="282">
        <v>850000</v>
      </c>
    </row>
    <row r="12" spans="3:8" x14ac:dyDescent="0.25">
      <c r="C12" s="271" t="s">
        <v>200</v>
      </c>
      <c r="D12" s="272"/>
      <c r="E12" s="273"/>
      <c r="F12" s="273"/>
      <c r="G12" s="274"/>
    </row>
    <row r="13" spans="3:8" outlineLevel="1" x14ac:dyDescent="0.25">
      <c r="C13" s="269"/>
      <c r="D13" s="270" t="s">
        <v>281</v>
      </c>
      <c r="E13" s="171">
        <v>399304.88123306201</v>
      </c>
      <c r="F13" s="171">
        <v>1561468.4346719999</v>
      </c>
      <c r="G13" s="172">
        <v>-829615.72154995997</v>
      </c>
    </row>
    <row r="14" spans="3:8" x14ac:dyDescent="0.25">
      <c r="C14" s="204" t="s">
        <v>202</v>
      </c>
    </row>
    <row r="15" spans="3:8" x14ac:dyDescent="0.25">
      <c r="C15" s="204" t="s">
        <v>203</v>
      </c>
    </row>
    <row r="16" spans="3:8" x14ac:dyDescent="0.25">
      <c r="C16" s="204" t="s">
        <v>204</v>
      </c>
    </row>
  </sheetData>
  <sheetProtection algorithmName="SHA-512" hashValue="lNRKB3n+YYydX9A55p2d5GY4szJTqsq3xZWtIZRC8fSQocIsPhjJnClizybM2h3F69Hw68Oe2KyBIFY+ipgIUA==" saltValue="f30uIMgeBxtJ8tuWG5Pwvw==" spinCount="100000" sheet="1" objects="1" scenarios="1"/>
  <mergeCells count="1">
    <mergeCell ref="C1:H1"/>
  </mergeCells>
  <pageMargins left="0.7" right="0.7" top="0.75" bottom="0.75" header="0.3" footer="0.3"/>
  <pageSetup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81"/>
  <sheetViews>
    <sheetView topLeftCell="A58" zoomScaleNormal="100" workbookViewId="0">
      <selection activeCell="D61" sqref="D61"/>
    </sheetView>
  </sheetViews>
  <sheetFormatPr baseColWidth="10" defaultColWidth="11.44140625" defaultRowHeight="13.8" x14ac:dyDescent="0.25"/>
  <cols>
    <col min="1" max="1" width="19.33203125" style="218" customWidth="1"/>
    <col min="2" max="2" width="4.88671875" style="218" customWidth="1"/>
    <col min="3" max="3" width="22.5546875" style="218" customWidth="1"/>
    <col min="4" max="4" width="20" style="218" customWidth="1"/>
    <col min="5" max="5" width="17" style="218" customWidth="1"/>
    <col min="6" max="6" width="20.88671875" style="218" customWidth="1"/>
    <col min="7" max="9" width="12.5546875" style="218" bestFit="1" customWidth="1"/>
    <col min="10" max="10" width="13.88671875" style="218" customWidth="1"/>
    <col min="11" max="11" width="11.44140625" style="218"/>
    <col min="12" max="12" width="7" style="218" bestFit="1" customWidth="1"/>
    <col min="13" max="14" width="12.33203125" style="218" bestFit="1" customWidth="1"/>
    <col min="15" max="15" width="10.6640625" style="218" bestFit="1" customWidth="1"/>
    <col min="16" max="18" width="11.6640625" style="218" bestFit="1" customWidth="1"/>
    <col min="19" max="19" width="12.6640625" style="218" bestFit="1" customWidth="1"/>
    <col min="20" max="16384" width="11.44140625" style="218"/>
  </cols>
  <sheetData>
    <row r="1" spans="2:9" ht="19.95" customHeight="1" x14ac:dyDescent="0.25">
      <c r="C1" s="602" t="s">
        <v>435</v>
      </c>
      <c r="D1" s="602"/>
      <c r="E1" s="602"/>
      <c r="F1" s="602"/>
      <c r="G1" s="602"/>
      <c r="H1" s="602"/>
      <c r="I1" s="602"/>
    </row>
    <row r="3" spans="2:9" ht="14.4" customHeight="1" x14ac:dyDescent="0.25">
      <c r="C3" s="603" t="s">
        <v>275</v>
      </c>
      <c r="D3" s="604"/>
      <c r="E3" s="604"/>
      <c r="F3" s="605"/>
    </row>
    <row r="4" spans="2:9" x14ac:dyDescent="0.25">
      <c r="C4" s="606"/>
      <c r="D4" s="607"/>
      <c r="E4" s="607"/>
      <c r="F4" s="608"/>
    </row>
    <row r="5" spans="2:9" x14ac:dyDescent="0.25">
      <c r="C5" s="219"/>
      <c r="D5" s="220" t="s">
        <v>191</v>
      </c>
      <c r="E5" s="220" t="s">
        <v>267</v>
      </c>
      <c r="F5" s="221" t="s">
        <v>192</v>
      </c>
    </row>
    <row r="6" spans="2:9" x14ac:dyDescent="0.25">
      <c r="B6" s="222"/>
      <c r="C6" s="223" t="s">
        <v>268</v>
      </c>
      <c r="D6" s="45">
        <v>0.3</v>
      </c>
      <c r="E6" s="45">
        <v>0.5</v>
      </c>
      <c r="F6" s="22">
        <v>0.2</v>
      </c>
    </row>
    <row r="7" spans="2:9" x14ac:dyDescent="0.25">
      <c r="B7" s="222"/>
      <c r="C7" s="224" t="s">
        <v>185</v>
      </c>
      <c r="D7" s="225">
        <v>100000</v>
      </c>
      <c r="E7" s="225">
        <v>150000</v>
      </c>
      <c r="F7" s="226">
        <v>200000</v>
      </c>
    </row>
    <row r="8" spans="2:9" x14ac:dyDescent="0.25">
      <c r="B8" s="222"/>
      <c r="C8" s="224" t="s">
        <v>186</v>
      </c>
      <c r="D8" s="227">
        <v>0.2</v>
      </c>
      <c r="E8" s="227">
        <v>0.25</v>
      </c>
      <c r="F8" s="228">
        <v>0.3</v>
      </c>
    </row>
    <row r="9" spans="2:9" x14ac:dyDescent="0.25">
      <c r="B9" s="222"/>
      <c r="C9" s="224" t="s">
        <v>311</v>
      </c>
      <c r="D9" s="225">
        <v>100</v>
      </c>
      <c r="E9" s="225">
        <v>120</v>
      </c>
      <c r="F9" s="226">
        <v>140</v>
      </c>
    </row>
    <row r="10" spans="2:9" x14ac:dyDescent="0.25">
      <c r="B10" s="222"/>
      <c r="C10" s="224" t="s">
        <v>312</v>
      </c>
      <c r="D10" s="225">
        <v>80</v>
      </c>
      <c r="E10" s="225">
        <v>75</v>
      </c>
      <c r="F10" s="226">
        <v>70</v>
      </c>
    </row>
    <row r="11" spans="2:9" x14ac:dyDescent="0.25">
      <c r="B11" s="222"/>
      <c r="C11" s="224" t="s">
        <v>313</v>
      </c>
      <c r="D11" s="225">
        <v>300000</v>
      </c>
      <c r="E11" s="225">
        <v>250000</v>
      </c>
      <c r="F11" s="226">
        <v>200000</v>
      </c>
    </row>
    <row r="12" spans="2:9" x14ac:dyDescent="0.25">
      <c r="B12" s="222"/>
      <c r="C12" s="224" t="s">
        <v>274</v>
      </c>
      <c r="D12" s="225">
        <v>1000000</v>
      </c>
      <c r="E12" s="225">
        <v>1000000</v>
      </c>
      <c r="F12" s="226">
        <v>1000000</v>
      </c>
    </row>
    <row r="13" spans="2:9" x14ac:dyDescent="0.25">
      <c r="B13" s="222"/>
      <c r="C13" s="224" t="s">
        <v>52</v>
      </c>
      <c r="D13" s="225"/>
      <c r="E13" s="45">
        <v>0.2</v>
      </c>
      <c r="F13" s="226"/>
    </row>
    <row r="14" spans="2:9" x14ac:dyDescent="0.25">
      <c r="B14" s="222"/>
      <c r="C14" s="224" t="s">
        <v>188</v>
      </c>
      <c r="D14" s="225"/>
      <c r="E14" s="227">
        <v>0.35</v>
      </c>
      <c r="F14" s="226"/>
    </row>
    <row r="15" spans="2:9" x14ac:dyDescent="0.25">
      <c r="B15" s="222"/>
      <c r="C15" s="224" t="s">
        <v>31</v>
      </c>
      <c r="D15" s="225"/>
      <c r="E15" s="227">
        <v>0.1</v>
      </c>
      <c r="F15" s="226"/>
    </row>
    <row r="16" spans="2:9" x14ac:dyDescent="0.25">
      <c r="B16" s="222"/>
      <c r="C16" s="229"/>
      <c r="D16" s="230"/>
      <c r="E16" s="230"/>
      <c r="F16" s="231"/>
    </row>
    <row r="17" spans="2:9" x14ac:dyDescent="0.25">
      <c r="B17" s="222"/>
    </row>
    <row r="18" spans="2:9" x14ac:dyDescent="0.25">
      <c r="B18" s="222"/>
    </row>
    <row r="19" spans="2:9" x14ac:dyDescent="0.25">
      <c r="B19" s="232" t="s">
        <v>105</v>
      </c>
      <c r="C19" s="233" t="s">
        <v>171</v>
      </c>
      <c r="D19" s="234" t="s">
        <v>34</v>
      </c>
      <c r="E19" s="234" t="s">
        <v>39</v>
      </c>
      <c r="F19" s="234" t="s">
        <v>40</v>
      </c>
      <c r="G19" s="234" t="s">
        <v>41</v>
      </c>
      <c r="H19" s="234" t="s">
        <v>42</v>
      </c>
      <c r="I19" s="235" t="s">
        <v>43</v>
      </c>
    </row>
    <row r="20" spans="2:9" x14ac:dyDescent="0.25">
      <c r="B20" s="222"/>
      <c r="C20" s="223" t="s">
        <v>56</v>
      </c>
      <c r="D20" s="225"/>
      <c r="E20" s="225">
        <f>+$E$7*$E$8*$E$9</f>
        <v>4500000</v>
      </c>
      <c r="F20" s="225">
        <f>+$E$7*$E$8*$E$9</f>
        <v>4500000</v>
      </c>
      <c r="G20" s="225">
        <f>+$E$7*$E$8*$E$9</f>
        <v>4500000</v>
      </c>
      <c r="H20" s="225">
        <f>+$E$7*$E$8*$E$9</f>
        <v>4500000</v>
      </c>
      <c r="I20" s="226">
        <f>+$E$7*$E$8*$E$9</f>
        <v>4500000</v>
      </c>
    </row>
    <row r="21" spans="2:9" x14ac:dyDescent="0.25">
      <c r="B21" s="222"/>
      <c r="C21" s="223" t="s">
        <v>132</v>
      </c>
      <c r="D21" s="225"/>
      <c r="E21" s="225">
        <f>-$E$11</f>
        <v>-250000</v>
      </c>
      <c r="F21" s="225">
        <f>-$E$11</f>
        <v>-250000</v>
      </c>
      <c r="G21" s="225">
        <f>-$E$11</f>
        <v>-250000</v>
      </c>
      <c r="H21" s="225">
        <f>-$E$11</f>
        <v>-250000</v>
      </c>
      <c r="I21" s="226">
        <f>-$E$11</f>
        <v>-250000</v>
      </c>
    </row>
    <row r="22" spans="2:9" x14ac:dyDescent="0.25">
      <c r="B22" s="222"/>
      <c r="C22" s="223" t="s">
        <v>131</v>
      </c>
      <c r="D22" s="225"/>
      <c r="E22" s="225">
        <f>-$E$10*$E$7*$E$8</f>
        <v>-2812500</v>
      </c>
      <c r="F22" s="225">
        <f>-$E$10*$E$7*$E$8</f>
        <v>-2812500</v>
      </c>
      <c r="G22" s="225">
        <f>-$E$10*$E$7*$E$8</f>
        <v>-2812500</v>
      </c>
      <c r="H22" s="225">
        <f>-$E$10*$E$7*$E$8</f>
        <v>-2812500</v>
      </c>
      <c r="I22" s="226">
        <f>-$E$10*$E$7*$E$8</f>
        <v>-2812500</v>
      </c>
    </row>
    <row r="23" spans="2:9" x14ac:dyDescent="0.25">
      <c r="B23" s="222"/>
      <c r="C23" s="223" t="s">
        <v>52</v>
      </c>
      <c r="D23" s="225"/>
      <c r="E23" s="225">
        <f>-$E$12*$E$13</f>
        <v>-200000</v>
      </c>
      <c r="F23" s="225">
        <f t="shared" ref="F23:I23" si="0">-$E$12*$E$13</f>
        <v>-200000</v>
      </c>
      <c r="G23" s="225">
        <f t="shared" si="0"/>
        <v>-200000</v>
      </c>
      <c r="H23" s="225">
        <f t="shared" si="0"/>
        <v>-200000</v>
      </c>
      <c r="I23" s="226">
        <f t="shared" si="0"/>
        <v>-200000</v>
      </c>
    </row>
    <row r="24" spans="2:9" x14ac:dyDescent="0.25">
      <c r="B24" s="222"/>
      <c r="C24" s="223" t="s">
        <v>78</v>
      </c>
      <c r="D24" s="225"/>
      <c r="E24" s="225">
        <f>-SUM(E20:E23)*$E$14</f>
        <v>-433125</v>
      </c>
      <c r="F24" s="225">
        <f>-SUM(F20:F23)*$E$14</f>
        <v>-433125</v>
      </c>
      <c r="G24" s="225">
        <f>-SUM(G20:G23)*$E$14</f>
        <v>-433125</v>
      </c>
      <c r="H24" s="225">
        <f>-SUM(H20:H23)*$E$14</f>
        <v>-433125</v>
      </c>
      <c r="I24" s="226">
        <f>-SUM(I20:I23)*$E$14</f>
        <v>-433125</v>
      </c>
    </row>
    <row r="25" spans="2:9" x14ac:dyDescent="0.25">
      <c r="B25" s="222"/>
      <c r="C25" s="236" t="s">
        <v>28</v>
      </c>
      <c r="D25" s="237"/>
      <c r="E25" s="237">
        <f>SUM(E20:E24)</f>
        <v>804375</v>
      </c>
      <c r="F25" s="237">
        <f>SUM(F20:F24)</f>
        <v>804375</v>
      </c>
      <c r="G25" s="237">
        <f>SUM(G20:G24)</f>
        <v>804375</v>
      </c>
      <c r="H25" s="237">
        <f>SUM(H20:H24)</f>
        <v>804375</v>
      </c>
      <c r="I25" s="238">
        <f>SUM(I20:I24)</f>
        <v>804375</v>
      </c>
    </row>
    <row r="26" spans="2:9" x14ac:dyDescent="0.25">
      <c r="B26" s="222"/>
    </row>
    <row r="27" spans="2:9" x14ac:dyDescent="0.25">
      <c r="B27" s="222"/>
    </row>
    <row r="28" spans="2:9" x14ac:dyDescent="0.25">
      <c r="B28" s="222"/>
      <c r="C28" s="233" t="s">
        <v>176</v>
      </c>
      <c r="D28" s="234" t="s">
        <v>34</v>
      </c>
      <c r="E28" s="234" t="s">
        <v>39</v>
      </c>
      <c r="F28" s="234" t="s">
        <v>40</v>
      </c>
      <c r="G28" s="234" t="s">
        <v>41</v>
      </c>
      <c r="H28" s="234" t="s">
        <v>42</v>
      </c>
      <c r="I28" s="235" t="s">
        <v>43</v>
      </c>
    </row>
    <row r="29" spans="2:9" x14ac:dyDescent="0.25">
      <c r="B29" s="222"/>
      <c r="C29" s="223" t="s">
        <v>54</v>
      </c>
      <c r="D29" s="225"/>
      <c r="E29" s="225">
        <f>+E25</f>
        <v>804375</v>
      </c>
      <c r="F29" s="225">
        <f>+F25</f>
        <v>804375</v>
      </c>
      <c r="G29" s="225">
        <f>+G25</f>
        <v>804375</v>
      </c>
      <c r="H29" s="225">
        <f>+H25</f>
        <v>804375</v>
      </c>
      <c r="I29" s="226">
        <f>+I25</f>
        <v>804375</v>
      </c>
    </row>
    <row r="30" spans="2:9" x14ac:dyDescent="0.25">
      <c r="B30" s="222"/>
      <c r="C30" s="223" t="s">
        <v>52</v>
      </c>
      <c r="D30" s="225"/>
      <c r="E30" s="225">
        <f>-E23</f>
        <v>200000</v>
      </c>
      <c r="F30" s="225">
        <f>-F23</f>
        <v>200000</v>
      </c>
      <c r="G30" s="225">
        <f>-G23</f>
        <v>200000</v>
      </c>
      <c r="H30" s="225">
        <f>-H23</f>
        <v>200000</v>
      </c>
      <c r="I30" s="226">
        <f>-I23</f>
        <v>200000</v>
      </c>
    </row>
    <row r="31" spans="2:9" x14ac:dyDescent="0.25">
      <c r="B31" s="222"/>
      <c r="C31" s="223" t="s">
        <v>19</v>
      </c>
      <c r="D31" s="225">
        <f>-E12</f>
        <v>-1000000</v>
      </c>
      <c r="E31" s="225"/>
      <c r="F31" s="225"/>
      <c r="G31" s="225"/>
      <c r="H31" s="225"/>
      <c r="I31" s="226"/>
    </row>
    <row r="32" spans="2:9" x14ac:dyDescent="0.25">
      <c r="B32" s="222"/>
      <c r="C32" s="236" t="s">
        <v>85</v>
      </c>
      <c r="D32" s="237">
        <f t="shared" ref="D32:I32" si="1">SUM(D29:D31)</f>
        <v>-1000000</v>
      </c>
      <c r="E32" s="237">
        <f t="shared" si="1"/>
        <v>1004375</v>
      </c>
      <c r="F32" s="237">
        <f t="shared" si="1"/>
        <v>1004375</v>
      </c>
      <c r="G32" s="237">
        <f t="shared" si="1"/>
        <v>1004375</v>
      </c>
      <c r="H32" s="237">
        <f t="shared" si="1"/>
        <v>1004375</v>
      </c>
      <c r="I32" s="238">
        <f t="shared" si="1"/>
        <v>1004375</v>
      </c>
    </row>
    <row r="33" spans="2:19" x14ac:dyDescent="0.25">
      <c r="B33" s="222"/>
    </row>
    <row r="34" spans="2:19" x14ac:dyDescent="0.25">
      <c r="B34" s="222"/>
      <c r="C34" s="239" t="s">
        <v>27</v>
      </c>
      <c r="D34" s="240">
        <f>+D32+NPV(E15,E32:I32)</f>
        <v>2807371.461524609</v>
      </c>
    </row>
    <row r="35" spans="2:19" x14ac:dyDescent="0.25">
      <c r="B35" s="222"/>
    </row>
    <row r="36" spans="2:19" x14ac:dyDescent="0.25">
      <c r="B36" s="232" t="s">
        <v>106</v>
      </c>
      <c r="C36" s="233"/>
      <c r="D36" s="234" t="s">
        <v>316</v>
      </c>
      <c r="E36" s="241" t="s">
        <v>159</v>
      </c>
    </row>
    <row r="37" spans="2:19" x14ac:dyDescent="0.25">
      <c r="B37" s="222"/>
      <c r="C37" s="224" t="s">
        <v>87</v>
      </c>
      <c r="D37" s="13">
        <v>89.6</v>
      </c>
      <c r="E37" s="41">
        <f>+(D37/E9)-1</f>
        <v>-0.25333333333333341</v>
      </c>
    </row>
    <row r="38" spans="2:19" x14ac:dyDescent="0.25">
      <c r="B38" s="222"/>
      <c r="C38" s="224" t="s">
        <v>314</v>
      </c>
      <c r="D38" s="13">
        <v>105.4</v>
      </c>
      <c r="E38" s="41">
        <f>+(D38/E10)-1</f>
        <v>0.40533333333333332</v>
      </c>
    </row>
    <row r="39" spans="2:19" x14ac:dyDescent="0.25">
      <c r="B39" s="222"/>
      <c r="C39" s="224" t="s">
        <v>315</v>
      </c>
      <c r="D39" s="13">
        <v>1389350</v>
      </c>
      <c r="E39" s="41">
        <f>+(D39/E11)-1</f>
        <v>4.5574000000000003</v>
      </c>
    </row>
    <row r="40" spans="2:19" x14ac:dyDescent="0.25">
      <c r="B40" s="222"/>
      <c r="C40" s="229" t="s">
        <v>19</v>
      </c>
      <c r="D40" s="43">
        <v>4821399.1026519798</v>
      </c>
      <c r="E40" s="44">
        <f>+(D40/E12)-1</f>
        <v>3.8213991026519798</v>
      </c>
    </row>
    <row r="41" spans="2:19" x14ac:dyDescent="0.25">
      <c r="B41" s="222"/>
    </row>
    <row r="42" spans="2:19" x14ac:dyDescent="0.25">
      <c r="B42" s="232" t="s">
        <v>107</v>
      </c>
      <c r="C42" s="242"/>
      <c r="D42" s="243" t="s">
        <v>191</v>
      </c>
      <c r="E42" s="243" t="s">
        <v>267</v>
      </c>
      <c r="F42" s="244" t="s">
        <v>192</v>
      </c>
    </row>
    <row r="43" spans="2:19" x14ac:dyDescent="0.25">
      <c r="C43" s="245" t="s">
        <v>268</v>
      </c>
      <c r="D43" s="173">
        <v>0.3</v>
      </c>
      <c r="E43" s="173">
        <v>0.5</v>
      </c>
      <c r="F43" s="174">
        <v>0.2</v>
      </c>
    </row>
    <row r="44" spans="2:19" x14ac:dyDescent="0.25">
      <c r="C44" s="229" t="s">
        <v>27</v>
      </c>
      <c r="D44" s="230">
        <f>+'Escenario Ejercicio 6'!F13</f>
        <v>-488243.78612985997</v>
      </c>
      <c r="E44" s="230">
        <f>+'Escenario Ejercicio 6'!E13</f>
        <v>2807371.4615246099</v>
      </c>
      <c r="F44" s="231">
        <f>+'Escenario Ejercicio 6'!G13</f>
        <v>9121400.6743205506</v>
      </c>
    </row>
    <row r="45" spans="2:19" x14ac:dyDescent="0.25">
      <c r="E45" s="57"/>
    </row>
    <row r="46" spans="2:19" x14ac:dyDescent="0.25">
      <c r="C46" s="246" t="s">
        <v>92</v>
      </c>
      <c r="D46" s="240">
        <f>+D43*D44+E43*E44+F43*F44</f>
        <v>3081492.7297874573</v>
      </c>
    </row>
    <row r="47" spans="2:19" x14ac:dyDescent="0.25">
      <c r="C47" s="222"/>
      <c r="D47" s="222"/>
    </row>
    <row r="48" spans="2:19" x14ac:dyDescent="0.25">
      <c r="C48" s="247"/>
      <c r="D48" s="248">
        <f>+(D44-$D$46)^2*D43</f>
        <v>3822905637922.0518</v>
      </c>
      <c r="E48" s="248">
        <f>+(E44-$D$46)^2*E43</f>
        <v>37571234857.015953</v>
      </c>
      <c r="F48" s="248">
        <f>+(F44-$D$46)^2*F43</f>
        <v>7296097595686.7939</v>
      </c>
      <c r="L48" s="6"/>
      <c r="M48" s="6"/>
      <c r="N48" s="6"/>
      <c r="O48" s="6"/>
      <c r="P48" s="6"/>
      <c r="Q48" s="6"/>
      <c r="R48" s="6"/>
      <c r="S48" s="6"/>
    </row>
    <row r="49" spans="2:19" ht="15.6" x14ac:dyDescent="0.25">
      <c r="C49" s="249" t="s">
        <v>437</v>
      </c>
      <c r="D49" s="251"/>
      <c r="E49" s="251"/>
      <c r="F49" s="250">
        <f>SUM(D48:F48)</f>
        <v>11156574468465.861</v>
      </c>
    </row>
    <row r="50" spans="2:19" ht="14.4" x14ac:dyDescent="0.3">
      <c r="C50" s="249" t="s">
        <v>307</v>
      </c>
      <c r="D50" s="251"/>
      <c r="E50" s="251"/>
      <c r="F50" s="250">
        <f>+F49^0.5</f>
        <v>3340145.8753272831</v>
      </c>
    </row>
    <row r="51" spans="2:19" x14ac:dyDescent="0.25">
      <c r="C51" s="184" t="s">
        <v>93</v>
      </c>
      <c r="D51" s="252"/>
      <c r="E51" s="252"/>
      <c r="F51" s="184">
        <f>+F50/D46</f>
        <v>1.0839376134298606</v>
      </c>
    </row>
    <row r="53" spans="2:19" x14ac:dyDescent="0.25">
      <c r="C53" s="36"/>
      <c r="D53" s="192" t="s">
        <v>370</v>
      </c>
      <c r="E53" s="192" t="s">
        <v>371</v>
      </c>
      <c r="F53" s="192" t="s">
        <v>369</v>
      </c>
      <c r="G53" s="104" t="s">
        <v>92</v>
      </c>
      <c r="H53" s="192" t="s">
        <v>372</v>
      </c>
      <c r="I53" s="192" t="s">
        <v>373</v>
      </c>
      <c r="J53" s="193" t="s">
        <v>374</v>
      </c>
    </row>
    <row r="54" spans="2:19" x14ac:dyDescent="0.25">
      <c r="C54" s="198">
        <v>0.68259999999999998</v>
      </c>
      <c r="D54" s="199"/>
      <c r="E54" s="200"/>
      <c r="F54" s="254">
        <f>+G54-F50</f>
        <v>-258653.14553982578</v>
      </c>
      <c r="G54" s="199">
        <f>+D46</f>
        <v>3081492.7297874573</v>
      </c>
      <c r="H54" s="199">
        <f>+G54+F50</f>
        <v>6421638.6051147403</v>
      </c>
      <c r="I54" s="200"/>
      <c r="J54" s="201"/>
    </row>
    <row r="55" spans="2:19" x14ac:dyDescent="0.25">
      <c r="C55" s="198">
        <v>0.95440000000000003</v>
      </c>
      <c r="D55" s="200"/>
      <c r="E55" s="199">
        <f>+G54-2*F50</f>
        <v>-3598799.0208671088</v>
      </c>
      <c r="F55" s="199"/>
      <c r="G55" s="199"/>
      <c r="H55" s="199"/>
      <c r="I55" s="199">
        <f>+G54+2*F50</f>
        <v>9761784.4804420229</v>
      </c>
      <c r="J55" s="202"/>
    </row>
    <row r="56" spans="2:19" x14ac:dyDescent="0.25">
      <c r="C56" s="197">
        <v>0.99739999999999995</v>
      </c>
      <c r="D56" s="43">
        <f>+G54-3*F50</f>
        <v>-6938944.896194391</v>
      </c>
      <c r="E56" s="43"/>
      <c r="F56" s="43"/>
      <c r="G56" s="43"/>
      <c r="H56" s="43"/>
      <c r="I56" s="43"/>
      <c r="J56" s="122">
        <f>+G54+3*F50</f>
        <v>13101930.355769306</v>
      </c>
    </row>
    <row r="59" spans="2:19" x14ac:dyDescent="0.25">
      <c r="B59" s="11" t="s">
        <v>111</v>
      </c>
      <c r="C59" s="77" t="s">
        <v>428</v>
      </c>
      <c r="D59" s="187">
        <f>+D46/F50</f>
        <v>0.92256232057095955</v>
      </c>
    </row>
    <row r="60" spans="2:19" x14ac:dyDescent="0.25">
      <c r="C60" s="188" t="s">
        <v>318</v>
      </c>
      <c r="D60" s="189">
        <f>D59*34.13%</f>
        <v>0.31487052001086852</v>
      </c>
    </row>
    <row r="61" spans="2:19" x14ac:dyDescent="0.25">
      <c r="C61" s="190" t="s">
        <v>301</v>
      </c>
      <c r="D61" s="191">
        <f>0.5+D60</f>
        <v>0.81487052001086857</v>
      </c>
    </row>
    <row r="63" spans="2:19" x14ac:dyDescent="0.25">
      <c r="S63" s="6"/>
    </row>
    <row r="64" spans="2:19" x14ac:dyDescent="0.25">
      <c r="S64" s="46"/>
    </row>
    <row r="65" spans="3:19" x14ac:dyDescent="0.25">
      <c r="S65" s="46"/>
    </row>
    <row r="66" spans="3:19" x14ac:dyDescent="0.25">
      <c r="S66" s="46"/>
    </row>
    <row r="67" spans="3:19" x14ac:dyDescent="0.25">
      <c r="C67" s="6"/>
      <c r="D67" s="6"/>
      <c r="E67" s="6"/>
      <c r="F67" s="6"/>
      <c r="G67" s="6"/>
      <c r="H67" s="6"/>
      <c r="S67" s="46"/>
    </row>
    <row r="68" spans="3:19" x14ac:dyDescent="0.25">
      <c r="C68" s="46"/>
      <c r="D68" s="46"/>
      <c r="E68" s="46"/>
      <c r="F68" s="46"/>
      <c r="G68" s="145" t="s">
        <v>409</v>
      </c>
      <c r="H68" s="46"/>
      <c r="S68" s="46"/>
    </row>
    <row r="69" spans="3:19" x14ac:dyDescent="0.25">
      <c r="C69" s="46"/>
      <c r="D69" s="46"/>
      <c r="E69" s="46"/>
      <c r="F69" s="46"/>
      <c r="G69" s="46"/>
      <c r="H69" s="46"/>
      <c r="S69" s="46"/>
    </row>
    <row r="70" spans="3:19" x14ac:dyDescent="0.25">
      <c r="C70" s="46"/>
      <c r="D70" s="46"/>
      <c r="E70" s="46"/>
      <c r="F70" s="46"/>
      <c r="G70" s="146" t="s">
        <v>436</v>
      </c>
      <c r="H70" s="46"/>
      <c r="S70" s="46"/>
    </row>
    <row r="71" spans="3:19" x14ac:dyDescent="0.25">
      <c r="C71" s="46"/>
      <c r="D71" s="46"/>
      <c r="E71" s="46"/>
      <c r="F71" s="46"/>
      <c r="G71" s="46"/>
      <c r="H71" s="46"/>
      <c r="S71" s="46"/>
    </row>
    <row r="72" spans="3:19" x14ac:dyDescent="0.25">
      <c r="C72" s="46"/>
      <c r="D72" s="46"/>
      <c r="E72" s="46"/>
      <c r="F72" s="46"/>
      <c r="G72" s="46"/>
      <c r="H72" s="46"/>
      <c r="S72" s="46"/>
    </row>
    <row r="73" spans="3:19" x14ac:dyDescent="0.25">
      <c r="C73" s="46"/>
      <c r="D73" s="46"/>
      <c r="E73" s="46"/>
      <c r="F73" s="46"/>
      <c r="G73" s="46"/>
      <c r="H73" s="46"/>
      <c r="S73" s="144"/>
    </row>
    <row r="74" spans="3:19" x14ac:dyDescent="0.25">
      <c r="C74" s="46"/>
      <c r="D74" s="46"/>
      <c r="E74" s="46"/>
      <c r="F74" s="46"/>
      <c r="G74" s="46"/>
      <c r="H74" s="46"/>
      <c r="S74" s="46"/>
    </row>
    <row r="75" spans="3:19" x14ac:dyDescent="0.25">
      <c r="C75" s="46"/>
      <c r="D75" s="46"/>
      <c r="E75" s="46"/>
      <c r="F75" s="46"/>
      <c r="G75" s="46"/>
      <c r="H75" s="46"/>
      <c r="S75" s="46"/>
    </row>
    <row r="76" spans="3:19" x14ac:dyDescent="0.25">
      <c r="C76" s="46"/>
      <c r="D76" s="46"/>
      <c r="E76" s="46"/>
      <c r="F76" s="46"/>
      <c r="G76" s="46"/>
      <c r="H76" s="46"/>
      <c r="S76" s="147"/>
    </row>
    <row r="77" spans="3:19" x14ac:dyDescent="0.25">
      <c r="C77" s="144"/>
      <c r="D77" s="144"/>
      <c r="E77" s="609">
        <v>3081.5</v>
      </c>
      <c r="F77" s="600"/>
      <c r="G77" s="144"/>
      <c r="H77" s="144"/>
      <c r="S77" s="147"/>
    </row>
    <row r="78" spans="3:19" x14ac:dyDescent="0.25">
      <c r="C78" s="148">
        <v>-3598.8</v>
      </c>
      <c r="D78" s="149">
        <v>-258.60000000000002</v>
      </c>
      <c r="E78" s="150">
        <v>0</v>
      </c>
      <c r="F78" s="148">
        <v>6421.6</v>
      </c>
      <c r="G78" s="6"/>
      <c r="H78" s="144"/>
    </row>
    <row r="79" spans="3:19" x14ac:dyDescent="0.25">
      <c r="C79" s="46"/>
      <c r="D79" s="151" t="s">
        <v>383</v>
      </c>
      <c r="E79" s="46"/>
      <c r="F79" s="46"/>
      <c r="G79" s="152" t="s">
        <v>384</v>
      </c>
      <c r="H79" s="46"/>
    </row>
    <row r="80" spans="3:19" x14ac:dyDescent="0.25">
      <c r="C80" s="155"/>
      <c r="D80" s="596"/>
      <c r="E80" s="596"/>
      <c r="F80" s="596"/>
      <c r="G80" s="596"/>
      <c r="H80" s="156"/>
    </row>
    <row r="81" spans="3:8" x14ac:dyDescent="0.25">
      <c r="C81" s="155"/>
      <c r="D81" s="157"/>
      <c r="E81" s="157"/>
      <c r="F81" s="597">
        <v>0.5</v>
      </c>
      <c r="G81" s="596"/>
      <c r="H81" s="596"/>
    </row>
  </sheetData>
  <sheetProtection algorithmName="SHA-512" hashValue="A3Jq4l3x/MwtJs0KnFom/mGnDdCATccEZXQyR0dH9am1V+o2IHSiiMnYR4R9EWl3EjJ22xqL9QPLkerS2F2Mlw==" saltValue="IxwzTkYU0xStXxrYkFpDww==" spinCount="100000" sheet="1" objects="1" scenarios="1"/>
  <mergeCells count="6">
    <mergeCell ref="F81:H81"/>
    <mergeCell ref="C1:I1"/>
    <mergeCell ref="C3:F4"/>
    <mergeCell ref="E77:F77"/>
    <mergeCell ref="D80:E80"/>
    <mergeCell ref="F80:G80"/>
  </mergeCells>
  <pageMargins left="0.7" right="0.7" top="0.75" bottom="0.75" header="0.3" footer="0.3"/>
  <pageSetup orientation="portrait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H16"/>
  <sheetViews>
    <sheetView topLeftCell="A4" zoomScaleNormal="100" workbookViewId="0">
      <selection activeCell="C1" sqref="C1:H1"/>
    </sheetView>
  </sheetViews>
  <sheetFormatPr baseColWidth="10" defaultColWidth="11.44140625" defaultRowHeight="13.8" outlineLevelRow="1" outlineLevelCol="1" x14ac:dyDescent="0.25"/>
  <cols>
    <col min="1" max="1" width="12.6640625" style="46" customWidth="1"/>
    <col min="2" max="3" width="11.44140625" style="46"/>
    <col min="4" max="4" width="7.88671875" style="46" customWidth="1"/>
    <col min="5" max="5" width="18" style="46" customWidth="1" outlineLevel="1"/>
    <col min="6" max="7" width="14.5546875" style="46" bestFit="1" customWidth="1" outlineLevel="1"/>
    <col min="8" max="16384" width="11.44140625" style="46"/>
  </cols>
  <sheetData>
    <row r="1" spans="3:8" ht="19.95" customHeight="1" x14ac:dyDescent="0.25">
      <c r="C1" s="601" t="s">
        <v>438</v>
      </c>
      <c r="D1" s="601"/>
      <c r="E1" s="601"/>
      <c r="F1" s="601"/>
      <c r="G1" s="601"/>
      <c r="H1" s="601"/>
    </row>
    <row r="3" spans="3:8" x14ac:dyDescent="0.25">
      <c r="C3" s="283" t="s">
        <v>189</v>
      </c>
      <c r="D3" s="284"/>
      <c r="E3" s="285"/>
      <c r="F3" s="285"/>
      <c r="G3" s="286"/>
    </row>
    <row r="4" spans="3:8" collapsed="1" x14ac:dyDescent="0.25">
      <c r="C4" s="258"/>
      <c r="D4" s="256"/>
      <c r="E4" s="257" t="s">
        <v>190</v>
      </c>
      <c r="F4" s="257" t="s">
        <v>191</v>
      </c>
      <c r="G4" s="259" t="s">
        <v>192</v>
      </c>
    </row>
    <row r="5" spans="3:8" ht="55.2" hidden="1" outlineLevel="1" x14ac:dyDescent="0.25">
      <c r="C5" s="260"/>
      <c r="D5" s="261"/>
      <c r="E5" s="147"/>
      <c r="F5" s="262" t="s">
        <v>193</v>
      </c>
      <c r="G5" s="263" t="s">
        <v>193</v>
      </c>
    </row>
    <row r="6" spans="3:8" collapsed="1" x14ac:dyDescent="0.25">
      <c r="C6" s="271" t="s">
        <v>194</v>
      </c>
      <c r="D6" s="272"/>
      <c r="E6" s="255"/>
      <c r="F6" s="255"/>
      <c r="G6" s="264"/>
    </row>
    <row r="7" spans="3:8" outlineLevel="1" x14ac:dyDescent="0.25">
      <c r="C7" s="260"/>
      <c r="D7" s="261" t="s">
        <v>195</v>
      </c>
      <c r="E7" s="225">
        <v>150000</v>
      </c>
      <c r="F7" s="265">
        <v>100000</v>
      </c>
      <c r="G7" s="266">
        <v>200000</v>
      </c>
    </row>
    <row r="8" spans="3:8" outlineLevel="1" x14ac:dyDescent="0.25">
      <c r="C8" s="260"/>
      <c r="D8" s="261" t="s">
        <v>196</v>
      </c>
      <c r="E8" s="227">
        <v>0.25</v>
      </c>
      <c r="F8" s="267">
        <v>0.2</v>
      </c>
      <c r="G8" s="268">
        <v>0.3</v>
      </c>
    </row>
    <row r="9" spans="3:8" outlineLevel="1" x14ac:dyDescent="0.25">
      <c r="C9" s="260"/>
      <c r="D9" s="261" t="s">
        <v>197</v>
      </c>
      <c r="E9" s="225">
        <v>120</v>
      </c>
      <c r="F9" s="265">
        <v>100</v>
      </c>
      <c r="G9" s="266">
        <v>140</v>
      </c>
    </row>
    <row r="10" spans="3:8" outlineLevel="1" x14ac:dyDescent="0.25">
      <c r="C10" s="260"/>
      <c r="D10" s="261" t="s">
        <v>198</v>
      </c>
      <c r="E10" s="225">
        <v>75</v>
      </c>
      <c r="F10" s="265">
        <v>80</v>
      </c>
      <c r="G10" s="266">
        <v>70</v>
      </c>
    </row>
    <row r="11" spans="3:8" outlineLevel="1" x14ac:dyDescent="0.25">
      <c r="C11" s="260"/>
      <c r="D11" s="261" t="s">
        <v>199</v>
      </c>
      <c r="E11" s="225">
        <v>250000</v>
      </c>
      <c r="F11" s="265">
        <v>300000</v>
      </c>
      <c r="G11" s="266">
        <v>200000</v>
      </c>
    </row>
    <row r="12" spans="3:8" x14ac:dyDescent="0.25">
      <c r="C12" s="271" t="s">
        <v>200</v>
      </c>
      <c r="D12" s="272"/>
      <c r="E12" s="255"/>
      <c r="F12" s="255"/>
      <c r="G12" s="264"/>
    </row>
    <row r="13" spans="3:8" outlineLevel="1" x14ac:dyDescent="0.25">
      <c r="C13" s="269"/>
      <c r="D13" s="270" t="s">
        <v>201</v>
      </c>
      <c r="E13" s="230">
        <v>2807371.4615246099</v>
      </c>
      <c r="F13" s="230">
        <v>-488243.78612985997</v>
      </c>
      <c r="G13" s="231">
        <v>9121400.6743205506</v>
      </c>
    </row>
    <row r="14" spans="3:8" x14ac:dyDescent="0.25">
      <c r="C14" s="46" t="s">
        <v>202</v>
      </c>
    </row>
    <row r="15" spans="3:8" x14ac:dyDescent="0.25">
      <c r="C15" s="46" t="s">
        <v>203</v>
      </c>
    </row>
    <row r="16" spans="3:8" x14ac:dyDescent="0.25">
      <c r="C16" s="46" t="s">
        <v>204</v>
      </c>
    </row>
  </sheetData>
  <sheetProtection algorithmName="SHA-512" hashValue="O3wiBgoU90nNsu/QWxJt4kEefR6R95cvKucVyVRabZkgMAKtIET9/UG8m4wM4TUK3nsQpfdC1t77Ez1zl77ExA==" saltValue="OBzJoMa9IRNLcwClE8jE5w==" spinCount="100000" sheet="1" objects="1" scenarios="1"/>
  <mergeCells count="1">
    <mergeCell ref="C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</vt:i4>
      </vt:variant>
    </vt:vector>
  </HeadingPairs>
  <TitlesOfParts>
    <vt:vector size="24" baseType="lpstr">
      <vt:lpstr>Inicio</vt:lpstr>
      <vt:lpstr>Ejercicio 1</vt:lpstr>
      <vt:lpstr>Ejercicio 2</vt:lpstr>
      <vt:lpstr>Ejercicio 3</vt:lpstr>
      <vt:lpstr>Ejercicio 4</vt:lpstr>
      <vt:lpstr>Ejercicio 5</vt:lpstr>
      <vt:lpstr>Escenario Ejercicio 5</vt:lpstr>
      <vt:lpstr>Ejercicio 6</vt:lpstr>
      <vt:lpstr>Escenario Ejercicio 6</vt:lpstr>
      <vt:lpstr>Ejercicio 7</vt:lpstr>
      <vt:lpstr>Escenario Ejercicio 7</vt:lpstr>
      <vt:lpstr>Ejercicio 8</vt:lpstr>
      <vt:lpstr>Ejercicio 9</vt:lpstr>
      <vt:lpstr>Ejercicio 10</vt:lpstr>
      <vt:lpstr>Ejercicio 11</vt:lpstr>
      <vt:lpstr>Ejercicio 12</vt:lpstr>
      <vt:lpstr>Ejercicio 13</vt:lpstr>
      <vt:lpstr>Ejercicio 14</vt:lpstr>
      <vt:lpstr>Ejercicio 15</vt:lpstr>
      <vt:lpstr>Ejercicio 16</vt:lpstr>
      <vt:lpstr>Ejercicio 17</vt:lpstr>
      <vt:lpstr>Ejercicio 18</vt:lpstr>
      <vt:lpstr>Ejercicio 19</vt:lpstr>
      <vt:lpstr>'Ejercicio 16'!Área_de_impresión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</cp:lastModifiedBy>
  <cp:lastPrinted>2020-06-29T19:47:50Z</cp:lastPrinted>
  <dcterms:created xsi:type="dcterms:W3CDTF">2020-03-03T19:22:48Z</dcterms:created>
  <dcterms:modified xsi:type="dcterms:W3CDTF">2021-01-13T15:35:27Z</dcterms:modified>
</cp:coreProperties>
</file>