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UPC\FER\Nueva carpeta\"/>
    </mc:Choice>
  </mc:AlternateContent>
  <xr:revisionPtr revIDLastSave="0" documentId="13_ncr:1_{7988ED8A-247C-4CA9-8D94-015C191DE4D8}" xr6:coauthVersionLast="37" xr6:coauthVersionMax="45" xr10:uidLastSave="{00000000-0000-0000-0000-000000000000}"/>
  <workbookProtection workbookAlgorithmName="SHA-512" workbookHashValue="elZ0pic/W4G+PGetrPBSm3mJLx5F7wcL359v3PXYD6+YrSPJybyNN4YYQx8k1mrOkDDM+wWzWDR1XOF131c2Fw==" workbookSaltValue="6TD06+wA6Lldw3LVbFCmyg==" workbookSpinCount="100000" lockStructure="1"/>
  <bookViews>
    <workbookView xWindow="-120" yWindow="-120" windowWidth="20736" windowHeight="11160" activeTab="3" xr2:uid="{00000000-000D-0000-FFFF-FFFF00000000}"/>
  </bookViews>
  <sheets>
    <sheet name="Inicio" sheetId="26" r:id="rId1"/>
    <sheet name="Ejercicio 1" sheetId="4" r:id="rId2"/>
    <sheet name="Ejercicio 2" sheetId="5" r:id="rId3"/>
    <sheet name="Ejercicio 3" sheetId="6" r:id="rId4"/>
    <sheet name="Ejercicio 4" sheetId="7" r:id="rId5"/>
    <sheet name="Ejercicio 5" sheetId="25" r:id="rId6"/>
    <sheet name="Ejercicio 6" sheetId="9" r:id="rId7"/>
    <sheet name="Ejercicio 7" sheetId="10" r:id="rId8"/>
    <sheet name="Ejercicio 8" sheetId="11" r:id="rId9"/>
    <sheet name="Ejercicio 9" sheetId="12" r:id="rId10"/>
    <sheet name="Ejercicio 10" sheetId="13" r:id="rId11"/>
    <sheet name="Ejercicio 11" sheetId="14" r:id="rId12"/>
    <sheet name="Ejercicio 12" sheetId="15" r:id="rId13"/>
    <sheet name="Ejercicio 13" sheetId="16" r:id="rId14"/>
    <sheet name="Ejercicio 14" sheetId="17" r:id="rId15"/>
    <sheet name="Ejercicio 15" sheetId="18" r:id="rId16"/>
    <sheet name="Ejercicio 16" sheetId="19" r:id="rId17"/>
    <sheet name="Ejercicio 17" sheetId="21" r:id="rId18"/>
    <sheet name="Ejercicio 18" sheetId="20" r:id="rId19"/>
    <sheet name="Ejercicio 19" sheetId="22" r:id="rId20"/>
    <sheet name="Ejercicio 20" sheetId="24" r:id="rId21"/>
  </sheets>
  <definedNames>
    <definedName name="_ftn1" localSheetId="18">'Ejercicio 18'!$M$100</definedName>
    <definedName name="_ftnref1" localSheetId="18">'Ejercicio 18'!$O$72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9" i="24" l="1"/>
  <c r="F60" i="24" s="1"/>
  <c r="F61" i="24" s="1"/>
  <c r="F62" i="24" s="1"/>
  <c r="F63" i="24" s="1"/>
  <c r="F64" i="24" s="1"/>
  <c r="F65" i="24" s="1"/>
  <c r="F66" i="24" s="1"/>
  <c r="F67" i="24" s="1"/>
  <c r="F68" i="24" s="1"/>
  <c r="F69" i="24" s="1"/>
  <c r="F70" i="24" s="1"/>
  <c r="F71" i="24" s="1"/>
  <c r="F72" i="24" s="1"/>
  <c r="F73" i="24" s="1"/>
  <c r="F74" i="24" s="1"/>
  <c r="F75" i="24" s="1"/>
  <c r="F76" i="24" s="1"/>
  <c r="F77" i="24" s="1"/>
  <c r="F78" i="24" s="1"/>
  <c r="F79" i="24" s="1"/>
  <c r="F80" i="24" s="1"/>
  <c r="F81" i="24" s="1"/>
  <c r="F82" i="24" s="1"/>
  <c r="D28" i="22"/>
  <c r="D22" i="17" l="1"/>
  <c r="D48" i="13"/>
  <c r="E37" i="12"/>
  <c r="L67" i="7"/>
  <c r="K67" i="7"/>
  <c r="C54" i="7"/>
  <c r="E44" i="7"/>
  <c r="F44" i="7"/>
  <c r="G44" i="7"/>
  <c r="H44" i="7"/>
  <c r="I44" i="7"/>
  <c r="J44" i="7"/>
  <c r="K44" i="7"/>
  <c r="L44" i="7"/>
  <c r="M44" i="7"/>
  <c r="E45" i="7"/>
  <c r="E48" i="7" s="1"/>
  <c r="F45" i="7"/>
  <c r="G45" i="7"/>
  <c r="H45" i="7"/>
  <c r="I45" i="7"/>
  <c r="J45" i="7"/>
  <c r="K45" i="7"/>
  <c r="L45" i="7"/>
  <c r="M45" i="7"/>
  <c r="D45" i="7"/>
  <c r="D44" i="7"/>
  <c r="C55" i="7"/>
  <c r="M47" i="7"/>
  <c r="M53" i="7" s="1"/>
  <c r="L47" i="7"/>
  <c r="L53" i="7" s="1"/>
  <c r="K47" i="7"/>
  <c r="K53" i="7" s="1"/>
  <c r="J47" i="7"/>
  <c r="J53" i="7" s="1"/>
  <c r="I47" i="7"/>
  <c r="I53" i="7" s="1"/>
  <c r="H47" i="7"/>
  <c r="H53" i="7" s="1"/>
  <c r="G47" i="7"/>
  <c r="G53" i="7" s="1"/>
  <c r="F47" i="7"/>
  <c r="F53" i="7" s="1"/>
  <c r="E47" i="7"/>
  <c r="E53" i="7" s="1"/>
  <c r="D47" i="7"/>
  <c r="D53" i="7" s="1"/>
  <c r="M46" i="7"/>
  <c r="L46" i="7"/>
  <c r="K46" i="7"/>
  <c r="J46" i="7"/>
  <c r="I46" i="7"/>
  <c r="H46" i="7"/>
  <c r="G46" i="7"/>
  <c r="F46" i="7"/>
  <c r="E46" i="7"/>
  <c r="D46" i="7"/>
  <c r="D35" i="4"/>
  <c r="D48" i="7" l="1"/>
  <c r="M48" i="7"/>
  <c r="G48" i="7"/>
  <c r="G49" i="7" s="1"/>
  <c r="G52" i="7" s="1"/>
  <c r="G55" i="7" s="1"/>
  <c r="L48" i="7"/>
  <c r="L49" i="7" s="1"/>
  <c r="L52" i="7" s="1"/>
  <c r="L55" i="7" s="1"/>
  <c r="H48" i="7"/>
  <c r="H49" i="7" s="1"/>
  <c r="H52" i="7" s="1"/>
  <c r="H55" i="7" s="1"/>
  <c r="K48" i="7"/>
  <c r="K49" i="7" s="1"/>
  <c r="K52" i="7" s="1"/>
  <c r="K55" i="7" s="1"/>
  <c r="D49" i="7"/>
  <c r="D52" i="7" s="1"/>
  <c r="D55" i="7" s="1"/>
  <c r="I48" i="7"/>
  <c r="I49" i="7" s="1"/>
  <c r="I52" i="7" s="1"/>
  <c r="I55" i="7" s="1"/>
  <c r="F48" i="7"/>
  <c r="F49" i="7" s="1"/>
  <c r="F52" i="7" s="1"/>
  <c r="F55" i="7" s="1"/>
  <c r="E49" i="7"/>
  <c r="E52" i="7" s="1"/>
  <c r="E55" i="7" s="1"/>
  <c r="M49" i="7"/>
  <c r="M52" i="7" s="1"/>
  <c r="M55" i="7" s="1"/>
  <c r="J48" i="7"/>
  <c r="J49" i="7" s="1"/>
  <c r="J52" i="7" s="1"/>
  <c r="J55" i="7" s="1"/>
  <c r="D17" i="19"/>
  <c r="C44" i="5" l="1"/>
  <c r="C46" i="5" l="1"/>
  <c r="H25" i="5"/>
  <c r="D12" i="24"/>
  <c r="D13" i="24" s="1"/>
  <c r="E61" i="22"/>
  <c r="D30" i="22"/>
  <c r="D26" i="22"/>
  <c r="D49" i="20"/>
  <c r="G79" i="20"/>
  <c r="E8" i="20"/>
  <c r="D25" i="20"/>
  <c r="F39" i="20" s="1"/>
  <c r="D91" i="21"/>
  <c r="E84" i="21"/>
  <c r="F84" i="21"/>
  <c r="G84" i="21"/>
  <c r="G63" i="21"/>
  <c r="E36" i="21"/>
  <c r="E31" i="21"/>
  <c r="E35" i="21" s="1"/>
  <c r="E30" i="21"/>
  <c r="D24" i="19"/>
  <c r="D19" i="19"/>
  <c r="D16" i="19"/>
  <c r="D15" i="19"/>
  <c r="E45" i="18"/>
  <c r="F45" i="18"/>
  <c r="G45" i="18"/>
  <c r="E29" i="18"/>
  <c r="E28" i="18"/>
  <c r="D21" i="18"/>
  <c r="F23" i="18"/>
  <c r="G23" i="18"/>
  <c r="H23" i="18"/>
  <c r="E23" i="18"/>
  <c r="D13" i="17"/>
  <c r="E31" i="16"/>
  <c r="I27" i="16"/>
  <c r="D33" i="15"/>
  <c r="H31" i="14"/>
  <c r="C34" i="14"/>
  <c r="E39" i="20" l="1"/>
  <c r="E42" i="21"/>
  <c r="D50" i="21" s="1"/>
  <c r="E34" i="21"/>
  <c r="E46" i="21" s="1"/>
  <c r="E21" i="18"/>
  <c r="F21" i="18" s="1"/>
  <c r="G21" i="18" s="1"/>
  <c r="H21" i="18" s="1"/>
  <c r="E22" i="18"/>
  <c r="E33" i="18" s="1"/>
  <c r="E84" i="11"/>
  <c r="H91" i="11" s="1"/>
  <c r="D40" i="11"/>
  <c r="E30" i="11"/>
  <c r="E28" i="11"/>
  <c r="E26" i="11"/>
  <c r="D40" i="10"/>
  <c r="E10" i="10"/>
  <c r="F10" i="10"/>
  <c r="D9" i="9"/>
  <c r="E9" i="9"/>
  <c r="F9" i="9"/>
  <c r="D30" i="7"/>
  <c r="D28" i="7"/>
  <c r="D27" i="7"/>
  <c r="D28" i="6"/>
  <c r="D26" i="6"/>
  <c r="D24" i="6"/>
  <c r="C39" i="6" s="1"/>
  <c r="C50" i="5"/>
  <c r="D29" i="5"/>
  <c r="D26" i="5"/>
  <c r="C18" i="5"/>
  <c r="C48" i="5" s="1"/>
  <c r="D7" i="4"/>
  <c r="E19" i="4"/>
  <c r="F19" i="4"/>
  <c r="D19" i="4"/>
  <c r="F20" i="4" l="1"/>
  <c r="I68" i="7"/>
  <c r="I67" i="7"/>
  <c r="J67" i="7"/>
  <c r="J68" i="7"/>
  <c r="J69" i="7"/>
  <c r="J70" i="7"/>
  <c r="J71" i="7"/>
  <c r="J72" i="7"/>
  <c r="J73" i="7"/>
  <c r="J74" i="7"/>
  <c r="J75" i="7"/>
  <c r="J76" i="7"/>
  <c r="H68" i="7"/>
  <c r="H69" i="7"/>
  <c r="K69" i="7" s="1"/>
  <c r="I69" i="7"/>
  <c r="H70" i="7"/>
  <c r="I70" i="7"/>
  <c r="H71" i="7"/>
  <c r="I71" i="7"/>
  <c r="L71" i="7" s="1"/>
  <c r="H72" i="7"/>
  <c r="K72" i="7" s="1"/>
  <c r="I72" i="7"/>
  <c r="H73" i="7"/>
  <c r="I73" i="7"/>
  <c r="H74" i="7"/>
  <c r="I74" i="7"/>
  <c r="H75" i="7"/>
  <c r="I75" i="7"/>
  <c r="H76" i="7"/>
  <c r="I76" i="7"/>
  <c r="H67" i="7"/>
  <c r="L75" i="7" l="1"/>
  <c r="K73" i="7"/>
  <c r="K76" i="7"/>
  <c r="L76" i="7"/>
  <c r="L72" i="7"/>
  <c r="K68" i="7"/>
  <c r="L73" i="7"/>
  <c r="L69" i="7"/>
  <c r="K75" i="7"/>
  <c r="K71" i="7"/>
  <c r="L74" i="7"/>
  <c r="L70" i="7"/>
  <c r="K74" i="7"/>
  <c r="K70" i="7"/>
  <c r="L68" i="7"/>
  <c r="K77" i="7" l="1"/>
  <c r="L77" i="7"/>
  <c r="L78" i="7" s="1"/>
  <c r="L79" i="7" s="1"/>
  <c r="G80" i="20" l="1"/>
  <c r="G81" i="20"/>
  <c r="G82" i="20"/>
  <c r="G83" i="20"/>
  <c r="G84" i="20"/>
  <c r="G85" i="20"/>
  <c r="G86" i="20"/>
  <c r="K39" i="20"/>
  <c r="E29" i="16"/>
  <c r="H42" i="14"/>
  <c r="D29" i="13" l="1"/>
  <c r="D44" i="13" s="1"/>
  <c r="D45" i="13" s="1"/>
  <c r="D46" i="13" s="1"/>
  <c r="D28" i="13"/>
  <c r="D27" i="12"/>
  <c r="D25" i="12"/>
  <c r="B37" i="25"/>
  <c r="E37" i="25" s="1"/>
  <c r="B39" i="25"/>
  <c r="E39" i="25" s="1"/>
  <c r="E54" i="25" s="1"/>
  <c r="B43" i="25"/>
  <c r="B55" i="25" s="1"/>
  <c r="F53" i="25"/>
  <c r="G53" i="25"/>
  <c r="H53" i="25"/>
  <c r="E53" i="25"/>
  <c r="H51" i="25"/>
  <c r="F50" i="25"/>
  <c r="G50" i="25"/>
  <c r="H50" i="25"/>
  <c r="E50" i="25"/>
  <c r="E18" i="25"/>
  <c r="D18" i="25"/>
  <c r="D17" i="25"/>
  <c r="C22" i="7"/>
  <c r="C23" i="7" s="1"/>
  <c r="C57" i="7" s="1"/>
  <c r="D28" i="5"/>
  <c r="D22" i="25" l="1"/>
  <c r="D23" i="25" s="1"/>
  <c r="E40" i="25"/>
  <c r="D76" i="25"/>
  <c r="D84" i="25" s="1"/>
  <c r="E52" i="25"/>
  <c r="E55" i="25" s="1"/>
  <c r="E56" i="25" s="1"/>
  <c r="E65" i="25" l="1"/>
  <c r="E63" i="25" s="1"/>
  <c r="F65" i="25"/>
  <c r="F63" i="25" s="1"/>
  <c r="G65" i="25"/>
  <c r="G63" i="25" s="1"/>
  <c r="D65" i="25"/>
  <c r="F60" i="25"/>
  <c r="G60" i="25"/>
  <c r="H60" i="25"/>
  <c r="E60" i="25"/>
  <c r="D64" i="25"/>
  <c r="F39" i="25"/>
  <c r="F54" i="25" s="1"/>
  <c r="G39" i="25"/>
  <c r="G54" i="25" s="1"/>
  <c r="H39" i="25"/>
  <c r="H54" i="25" s="1"/>
  <c r="F37" i="25"/>
  <c r="F52" i="25" s="1"/>
  <c r="G37" i="25"/>
  <c r="H37" i="25"/>
  <c r="H52" i="25" s="1"/>
  <c r="D53" i="24"/>
  <c r="D54" i="24"/>
  <c r="D55" i="24"/>
  <c r="D56" i="24"/>
  <c r="D57" i="24"/>
  <c r="D58" i="24"/>
  <c r="D59" i="24"/>
  <c r="D60" i="24"/>
  <c r="D61" i="24"/>
  <c r="D62" i="24"/>
  <c r="D63" i="24"/>
  <c r="D64" i="24"/>
  <c r="D65" i="24"/>
  <c r="D66" i="24"/>
  <c r="D67" i="24"/>
  <c r="D68" i="24"/>
  <c r="D69" i="24"/>
  <c r="D70" i="24"/>
  <c r="D71" i="24"/>
  <c r="D72" i="24"/>
  <c r="D73" i="24"/>
  <c r="D74" i="24"/>
  <c r="D75" i="24"/>
  <c r="D76" i="24"/>
  <c r="D77" i="24"/>
  <c r="D78" i="24"/>
  <c r="D79" i="24"/>
  <c r="D80" i="24"/>
  <c r="D81" i="24"/>
  <c r="D82" i="24"/>
  <c r="D17" i="24"/>
  <c r="D49" i="24" s="1"/>
  <c r="D52" i="24" l="1"/>
  <c r="D63" i="25"/>
  <c r="D66" i="25" s="1"/>
  <c r="G40" i="25"/>
  <c r="G52" i="25"/>
  <c r="G55" i="25" s="1"/>
  <c r="G56" i="25" s="1"/>
  <c r="G59" i="25" s="1"/>
  <c r="G66" i="25" s="1"/>
  <c r="H55" i="25"/>
  <c r="H56" i="25" s="1"/>
  <c r="H59" i="25" s="1"/>
  <c r="F40" i="25"/>
  <c r="H40" i="25"/>
  <c r="H61" i="25"/>
  <c r="F55" i="25"/>
  <c r="F56" i="25" s="1"/>
  <c r="F59" i="25" s="1"/>
  <c r="F66" i="25" s="1"/>
  <c r="E59" i="25"/>
  <c r="E66" i="25" s="1"/>
  <c r="E23" i="25"/>
  <c r="E52" i="24" l="1"/>
  <c r="D83" i="24"/>
  <c r="H66" i="25"/>
  <c r="D94" i="25" s="1"/>
  <c r="D28" i="25"/>
  <c r="D69" i="25"/>
  <c r="D70" i="25" s="1"/>
  <c r="D92" i="21"/>
  <c r="D84" i="21"/>
  <c r="G85" i="21" s="1"/>
  <c r="D96" i="21" s="1"/>
  <c r="D71" i="25" l="1"/>
  <c r="E31" i="25"/>
  <c r="E67" i="25" s="1"/>
  <c r="E30" i="25"/>
  <c r="G31" i="25"/>
  <c r="G67" i="25" s="1"/>
  <c r="F31" i="25"/>
  <c r="F67" i="25" s="1"/>
  <c r="H31" i="25"/>
  <c r="H67" i="25" s="1"/>
  <c r="E21" i="25"/>
  <c r="E22" i="25"/>
  <c r="D93" i="21"/>
  <c r="D20" i="19"/>
  <c r="D32" i="19" s="1"/>
  <c r="D77" i="25" l="1"/>
  <c r="E29" i="25"/>
  <c r="E28" i="25" s="1"/>
  <c r="F30" i="25" s="1"/>
  <c r="F99" i="25" s="1"/>
  <c r="E68" i="25"/>
  <c r="E70" i="25" s="1"/>
  <c r="E99" i="25"/>
  <c r="E41" i="25"/>
  <c r="E42" i="25" s="1"/>
  <c r="D21" i="19"/>
  <c r="D33" i="19" s="1"/>
  <c r="D13" i="18"/>
  <c r="D45" i="18"/>
  <c r="D47" i="18" s="1"/>
  <c r="D51" i="18" s="1"/>
  <c r="D20" i="17"/>
  <c r="D46" i="16"/>
  <c r="D28" i="15"/>
  <c r="F68" i="25" l="1"/>
  <c r="F70" i="25" s="1"/>
  <c r="D51" i="16"/>
  <c r="D47" i="16"/>
  <c r="D52" i="16" s="1"/>
  <c r="D29" i="15"/>
  <c r="D31" i="15" s="1"/>
  <c r="D30" i="15"/>
  <c r="F41" i="25"/>
  <c r="F42" i="25" s="1"/>
  <c r="F43" i="25" s="1"/>
  <c r="F44" i="25" s="1"/>
  <c r="F29" i="25"/>
  <c r="F28" i="25" s="1"/>
  <c r="G30" i="25" s="1"/>
  <c r="G41" i="25" s="1"/>
  <c r="G42" i="25" s="1"/>
  <c r="G43" i="25" s="1"/>
  <c r="E71" i="25"/>
  <c r="E43" i="25"/>
  <c r="E44" i="25" s="1"/>
  <c r="G68" i="25"/>
  <c r="G70" i="25" s="1"/>
  <c r="G71" i="25" s="1"/>
  <c r="G29" i="25"/>
  <c r="G28" i="25" s="1"/>
  <c r="H30" i="25" s="1"/>
  <c r="H99" i="25" s="1"/>
  <c r="D78" i="25"/>
  <c r="D85" i="25" s="1"/>
  <c r="F71" i="25"/>
  <c r="F35" i="13"/>
  <c r="G35" i="13"/>
  <c r="H35" i="13"/>
  <c r="I35" i="13"/>
  <c r="E35" i="13"/>
  <c r="E32" i="12"/>
  <c r="E30" i="12"/>
  <c r="G99" i="25" l="1"/>
  <c r="H29" i="25"/>
  <c r="H28" i="25" s="1"/>
  <c r="D101" i="25"/>
  <c r="G44" i="25"/>
  <c r="H41" i="25"/>
  <c r="H42" i="25" s="1"/>
  <c r="H43" i="25" s="1"/>
  <c r="H68" i="25"/>
  <c r="H70" i="25" s="1"/>
  <c r="D95" i="25" s="1"/>
  <c r="D93" i="25" s="1"/>
  <c r="D86" i="25"/>
  <c r="D89" i="25" s="1"/>
  <c r="I37" i="11"/>
  <c r="H71" i="25" l="1"/>
  <c r="D91" i="25" s="1"/>
  <c r="H44" i="25"/>
  <c r="D39" i="10"/>
  <c r="D10" i="10"/>
  <c r="F12" i="10" s="1"/>
  <c r="D20" i="10" s="1"/>
  <c r="C42" i="9"/>
  <c r="C39" i="9" s="1"/>
  <c r="C18" i="24" l="1"/>
  <c r="C19" i="24" s="1"/>
  <c r="C20" i="24" s="1"/>
  <c r="C21" i="24" s="1"/>
  <c r="C22" i="24" s="1"/>
  <c r="C23" i="24" s="1"/>
  <c r="C24" i="24" s="1"/>
  <c r="C25" i="24" s="1"/>
  <c r="C26" i="24" s="1"/>
  <c r="C27" i="24" s="1"/>
  <c r="C28" i="24" s="1"/>
  <c r="C29" i="24" s="1"/>
  <c r="C30" i="24" s="1"/>
  <c r="C31" i="24" s="1"/>
  <c r="C32" i="24" s="1"/>
  <c r="C33" i="24" s="1"/>
  <c r="C34" i="24" s="1"/>
  <c r="C35" i="24" s="1"/>
  <c r="C36" i="24" s="1"/>
  <c r="C37" i="24" s="1"/>
  <c r="C38" i="24" s="1"/>
  <c r="C39" i="24" s="1"/>
  <c r="C40" i="24" s="1"/>
  <c r="C41" i="24" s="1"/>
  <c r="C42" i="24" s="1"/>
  <c r="C43" i="24" s="1"/>
  <c r="C44" i="24" s="1"/>
  <c r="C45" i="24" s="1"/>
  <c r="C46" i="24" s="1"/>
  <c r="C47" i="24" s="1"/>
  <c r="C53" i="24"/>
  <c r="F74" i="21"/>
  <c r="F70" i="21"/>
  <c r="E70" i="21"/>
  <c r="H63" i="21"/>
  <c r="I63" i="21"/>
  <c r="I70" i="21" s="1"/>
  <c r="G70" i="21"/>
  <c r="F60" i="21"/>
  <c r="G60" i="21"/>
  <c r="H60" i="21"/>
  <c r="I60" i="21"/>
  <c r="E60" i="21"/>
  <c r="F58" i="21"/>
  <c r="F62" i="21" s="1"/>
  <c r="G58" i="21"/>
  <c r="H58" i="21"/>
  <c r="H62" i="21" s="1"/>
  <c r="I58" i="21"/>
  <c r="I62" i="21" s="1"/>
  <c r="E58" i="21"/>
  <c r="E62" i="21" s="1"/>
  <c r="F57" i="21"/>
  <c r="G57" i="21"/>
  <c r="H57" i="21"/>
  <c r="I57" i="21"/>
  <c r="E57" i="21"/>
  <c r="D49" i="21"/>
  <c r="D48" i="21" s="1"/>
  <c r="D51" i="21" s="1"/>
  <c r="I43" i="21"/>
  <c r="F36" i="21"/>
  <c r="G36" i="21"/>
  <c r="H36" i="21"/>
  <c r="I36" i="21"/>
  <c r="F33" i="21"/>
  <c r="F45" i="21" s="1"/>
  <c r="G33" i="21"/>
  <c r="G45" i="21" s="1"/>
  <c r="H33" i="21"/>
  <c r="H45" i="21" s="1"/>
  <c r="I33" i="21"/>
  <c r="I45" i="21" s="1"/>
  <c r="E33" i="21"/>
  <c r="F31" i="21"/>
  <c r="F35" i="21" s="1"/>
  <c r="G31" i="21"/>
  <c r="G35" i="21" s="1"/>
  <c r="H31" i="21"/>
  <c r="H35" i="21" s="1"/>
  <c r="I31" i="21"/>
  <c r="I35" i="21" s="1"/>
  <c r="F30" i="21"/>
  <c r="F34" i="21" s="1"/>
  <c r="G30" i="21"/>
  <c r="G34" i="21" s="1"/>
  <c r="H30" i="21"/>
  <c r="H34" i="21" s="1"/>
  <c r="I30" i="21"/>
  <c r="I34" i="21" s="1"/>
  <c r="I32" i="21" l="1"/>
  <c r="E37" i="21"/>
  <c r="E38" i="21" s="1"/>
  <c r="E45" i="21"/>
  <c r="H70" i="21"/>
  <c r="I59" i="21"/>
  <c r="I72" i="21"/>
  <c r="C54" i="24"/>
  <c r="C55" i="24" s="1"/>
  <c r="C56" i="24" s="1"/>
  <c r="C57" i="24" s="1"/>
  <c r="C58" i="24" s="1"/>
  <c r="C59" i="24" s="1"/>
  <c r="C60" i="24" s="1"/>
  <c r="C61" i="24" s="1"/>
  <c r="C62" i="24" s="1"/>
  <c r="C63" i="24" s="1"/>
  <c r="C64" i="24" s="1"/>
  <c r="C65" i="24" s="1"/>
  <c r="C66" i="24" s="1"/>
  <c r="C67" i="24" s="1"/>
  <c r="C68" i="24" s="1"/>
  <c r="C69" i="24" s="1"/>
  <c r="C70" i="24" s="1"/>
  <c r="C71" i="24" s="1"/>
  <c r="C72" i="24" s="1"/>
  <c r="C73" i="24" s="1"/>
  <c r="C74" i="24" s="1"/>
  <c r="C75" i="24" s="1"/>
  <c r="C76" i="24" s="1"/>
  <c r="C77" i="24" s="1"/>
  <c r="C78" i="24" s="1"/>
  <c r="C79" i="24" s="1"/>
  <c r="C80" i="24" s="1"/>
  <c r="C81" i="24" s="1"/>
  <c r="C82" i="24" s="1"/>
  <c r="E82" i="24" s="1"/>
  <c r="E53" i="24"/>
  <c r="D75" i="21"/>
  <c r="D73" i="21" s="1"/>
  <c r="D76" i="21" s="1"/>
  <c r="G61" i="21"/>
  <c r="F75" i="21"/>
  <c r="H61" i="21"/>
  <c r="H64" i="21" s="1"/>
  <c r="H65" i="21" s="1"/>
  <c r="H69" i="21" s="1"/>
  <c r="G75" i="21"/>
  <c r="E75" i="21"/>
  <c r="H46" i="21"/>
  <c r="H75" i="21"/>
  <c r="F52" i="24"/>
  <c r="E61" i="21"/>
  <c r="F61" i="21"/>
  <c r="F64" i="21" s="1"/>
  <c r="I61" i="21"/>
  <c r="G62" i="21"/>
  <c r="G64" i="21" s="1"/>
  <c r="I46" i="21"/>
  <c r="F46" i="21"/>
  <c r="G46" i="21"/>
  <c r="H42" i="21"/>
  <c r="G42" i="21"/>
  <c r="F42" i="21"/>
  <c r="I42" i="21"/>
  <c r="I37" i="21"/>
  <c r="H37" i="21"/>
  <c r="F37" i="21"/>
  <c r="G37" i="21"/>
  <c r="D65" i="22"/>
  <c r="F61" i="22"/>
  <c r="G61" i="22"/>
  <c r="H61" i="22"/>
  <c r="I61" i="22"/>
  <c r="I48" i="22"/>
  <c r="H48" i="22"/>
  <c r="G48" i="22"/>
  <c r="F48" i="22"/>
  <c r="E48" i="22"/>
  <c r="D66" i="22" s="1"/>
  <c r="D35" i="22"/>
  <c r="D34" i="22"/>
  <c r="F49" i="22"/>
  <c r="F50" i="22" s="1"/>
  <c r="G49" i="22"/>
  <c r="G50" i="22" s="1"/>
  <c r="H49" i="22"/>
  <c r="H50" i="22" s="1"/>
  <c r="I49" i="22"/>
  <c r="I50" i="22" s="1"/>
  <c r="E49" i="22"/>
  <c r="E50" i="22" s="1"/>
  <c r="E79" i="20"/>
  <c r="H79" i="20" s="1"/>
  <c r="I79" i="20" s="1"/>
  <c r="E80" i="20"/>
  <c r="H80" i="20" s="1"/>
  <c r="I80" i="20" s="1"/>
  <c r="E81" i="20"/>
  <c r="H81" i="20" s="1"/>
  <c r="I81" i="20" s="1"/>
  <c r="E82" i="20"/>
  <c r="H82" i="20" s="1"/>
  <c r="I82" i="20" s="1"/>
  <c r="E83" i="20"/>
  <c r="E84" i="20"/>
  <c r="H84" i="20" s="1"/>
  <c r="I84" i="20" s="1"/>
  <c r="E85" i="20"/>
  <c r="H85" i="20" s="1"/>
  <c r="I85" i="20" s="1"/>
  <c r="E86" i="20"/>
  <c r="H86" i="20" s="1"/>
  <c r="I86" i="20" s="1"/>
  <c r="Q50" i="20"/>
  <c r="Q51" i="20" s="1"/>
  <c r="F50" i="20"/>
  <c r="G50" i="20"/>
  <c r="H50" i="20"/>
  <c r="I50" i="20"/>
  <c r="J50" i="20"/>
  <c r="K50" i="20"/>
  <c r="L50" i="20"/>
  <c r="M50" i="20"/>
  <c r="N50" i="20"/>
  <c r="E52" i="20"/>
  <c r="E50" i="20" s="1"/>
  <c r="D52" i="20"/>
  <c r="D51" i="20"/>
  <c r="N37" i="20"/>
  <c r="N45" i="20" s="1"/>
  <c r="G39" i="20"/>
  <c r="H39" i="20"/>
  <c r="I39" i="20"/>
  <c r="J39" i="20"/>
  <c r="E6" i="20"/>
  <c r="E12" i="20"/>
  <c r="E38" i="20" s="1"/>
  <c r="F38" i="20" s="1"/>
  <c r="E80" i="24" l="1"/>
  <c r="E64" i="24"/>
  <c r="E75" i="24"/>
  <c r="E59" i="24"/>
  <c r="E70" i="24"/>
  <c r="E61" i="24"/>
  <c r="F53" i="24"/>
  <c r="E76" i="24"/>
  <c r="E60" i="24"/>
  <c r="E71" i="24"/>
  <c r="E55" i="24"/>
  <c r="E62" i="24"/>
  <c r="E57" i="24"/>
  <c r="E72" i="24"/>
  <c r="E56" i="24"/>
  <c r="E67" i="24"/>
  <c r="E78" i="24"/>
  <c r="E58" i="24"/>
  <c r="E68" i="24"/>
  <c r="E79" i="24"/>
  <c r="E63" i="24"/>
  <c r="E74" i="24"/>
  <c r="E54" i="24"/>
  <c r="D64" i="22"/>
  <c r="D67" i="22" s="1"/>
  <c r="I54" i="22"/>
  <c r="I62" i="22"/>
  <c r="E36" i="20"/>
  <c r="F36" i="20"/>
  <c r="F44" i="20" s="1"/>
  <c r="D50" i="20"/>
  <c r="E64" i="21"/>
  <c r="E65" i="21" s="1"/>
  <c r="E69" i="21" s="1"/>
  <c r="H50" i="21"/>
  <c r="I64" i="21"/>
  <c r="I65" i="21" s="1"/>
  <c r="I69" i="21" s="1"/>
  <c r="E77" i="24"/>
  <c r="E73" i="24"/>
  <c r="E69" i="24"/>
  <c r="F54" i="24"/>
  <c r="F55" i="24" s="1"/>
  <c r="F56" i="24" s="1"/>
  <c r="E66" i="24"/>
  <c r="E81" i="24"/>
  <c r="E65" i="24"/>
  <c r="N36" i="20"/>
  <c r="N44" i="20" s="1"/>
  <c r="E47" i="20"/>
  <c r="G50" i="21"/>
  <c r="F66" i="22"/>
  <c r="F64" i="22" s="1"/>
  <c r="D31" i="22"/>
  <c r="D32" i="22" s="1"/>
  <c r="E50" i="21"/>
  <c r="D94" i="21"/>
  <c r="D97" i="21" s="1"/>
  <c r="D98" i="21" s="1"/>
  <c r="F50" i="21"/>
  <c r="H83" i="20"/>
  <c r="I83" i="20" s="1"/>
  <c r="I88" i="20" s="1"/>
  <c r="D97" i="20" s="1"/>
  <c r="F65" i="21"/>
  <c r="F69" i="21" s="1"/>
  <c r="G65" i="21"/>
  <c r="G69" i="21" s="1"/>
  <c r="F38" i="21"/>
  <c r="F47" i="21"/>
  <c r="I38" i="21"/>
  <c r="I47" i="21"/>
  <c r="H38" i="21"/>
  <c r="H47" i="21"/>
  <c r="G38" i="21"/>
  <c r="G47" i="21"/>
  <c r="E47" i="21"/>
  <c r="G66" i="22"/>
  <c r="G64" i="22" s="1"/>
  <c r="H66" i="22"/>
  <c r="H64" i="22" s="1"/>
  <c r="E66" i="22"/>
  <c r="E64" i="22" s="1"/>
  <c r="D36" i="22"/>
  <c r="N46" i="20"/>
  <c r="G36" i="20"/>
  <c r="G44" i="20" s="1"/>
  <c r="K36" i="20"/>
  <c r="K44" i="20" s="1"/>
  <c r="H36" i="20"/>
  <c r="L36" i="20"/>
  <c r="I36" i="20"/>
  <c r="M36" i="20"/>
  <c r="J36" i="20"/>
  <c r="D23" i="19"/>
  <c r="D34" i="19" s="1"/>
  <c r="D30" i="18"/>
  <c r="D31" i="18" s="1"/>
  <c r="F28" i="18"/>
  <c r="G28" i="18"/>
  <c r="H28" i="18"/>
  <c r="F29" i="18"/>
  <c r="G29" i="18"/>
  <c r="H29" i="18"/>
  <c r="F57" i="24" l="1"/>
  <c r="F58" i="24" s="1"/>
  <c r="D40" i="22"/>
  <c r="G43" i="22" s="1"/>
  <c r="I63" i="22"/>
  <c r="Q54" i="20"/>
  <c r="V57" i="20" s="1"/>
  <c r="I54" i="20" s="1"/>
  <c r="D53" i="20"/>
  <c r="E40" i="20"/>
  <c r="E48" i="20" s="1"/>
  <c r="I44" i="21"/>
  <c r="I90" i="20"/>
  <c r="D98" i="20" s="1"/>
  <c r="D99" i="20" s="1"/>
  <c r="E44" i="20"/>
  <c r="F22" i="18"/>
  <c r="G31" i="18"/>
  <c r="G48" i="21"/>
  <c r="G51" i="21" s="1"/>
  <c r="G73" i="21"/>
  <c r="G76" i="21" s="1"/>
  <c r="H44" i="20"/>
  <c r="I44" i="20"/>
  <c r="L44" i="20"/>
  <c r="M44" i="20"/>
  <c r="J44" i="20"/>
  <c r="H31" i="18"/>
  <c r="F31" i="18"/>
  <c r="D34" i="18"/>
  <c r="D35" i="18" s="1"/>
  <c r="E31" i="18"/>
  <c r="D30" i="17"/>
  <c r="F25" i="17"/>
  <c r="G25" i="17"/>
  <c r="E25" i="17"/>
  <c r="D25" i="17"/>
  <c r="D21" i="17"/>
  <c r="D49" i="16"/>
  <c r="D48" i="16" s="1"/>
  <c r="D53" i="16" s="1"/>
  <c r="D41" i="16"/>
  <c r="F31" i="16"/>
  <c r="F37" i="16" s="1"/>
  <c r="G31" i="16"/>
  <c r="G37" i="16" s="1"/>
  <c r="H31" i="16"/>
  <c r="H37" i="16" s="1"/>
  <c r="I31" i="16"/>
  <c r="I37" i="16" s="1"/>
  <c r="E37" i="16"/>
  <c r="F29" i="16"/>
  <c r="G29" i="16"/>
  <c r="H29" i="16"/>
  <c r="I29" i="16"/>
  <c r="I26" i="16"/>
  <c r="F26" i="16"/>
  <c r="G26" i="16"/>
  <c r="H26" i="16"/>
  <c r="H28" i="16" s="1"/>
  <c r="E26" i="16"/>
  <c r="D37" i="15"/>
  <c r="D39" i="15" s="1"/>
  <c r="E37" i="15"/>
  <c r="F37" i="15" s="1"/>
  <c r="D19" i="15"/>
  <c r="D18" i="15" s="1"/>
  <c r="D34" i="15" s="1"/>
  <c r="F11" i="14"/>
  <c r="F21" i="14" s="1"/>
  <c r="F23" i="14" s="1"/>
  <c r="D43" i="13"/>
  <c r="D35" i="13"/>
  <c r="D37" i="13" s="1"/>
  <c r="F34" i="13"/>
  <c r="G34" i="13"/>
  <c r="H34" i="13"/>
  <c r="I34" i="13"/>
  <c r="E34" i="13"/>
  <c r="E46" i="12"/>
  <c r="F46" i="12"/>
  <c r="G46" i="12"/>
  <c r="E47" i="12"/>
  <c r="F47" i="12"/>
  <c r="G47" i="12"/>
  <c r="D47" i="12"/>
  <c r="D46" i="12"/>
  <c r="E45" i="12"/>
  <c r="F45" i="12"/>
  <c r="G45" i="12"/>
  <c r="D45" i="12"/>
  <c r="E44" i="12"/>
  <c r="F44" i="12"/>
  <c r="G44" i="12"/>
  <c r="D44" i="12"/>
  <c r="D26" i="12"/>
  <c r="E31" i="12" s="1"/>
  <c r="E33" i="12" s="1"/>
  <c r="E36" i="12" s="1"/>
  <c r="H96" i="11"/>
  <c r="F91" i="11"/>
  <c r="F92" i="11"/>
  <c r="F90" i="11"/>
  <c r="E41" i="11"/>
  <c r="F41" i="11"/>
  <c r="G41" i="11"/>
  <c r="H41" i="11"/>
  <c r="I41" i="11"/>
  <c r="F30" i="11"/>
  <c r="G30" i="11"/>
  <c r="H30" i="11"/>
  <c r="I30" i="11"/>
  <c r="S57" i="20" l="1"/>
  <c r="F54" i="20" s="1"/>
  <c r="R57" i="20"/>
  <c r="E54" i="20" s="1"/>
  <c r="I43" i="22"/>
  <c r="F43" i="22"/>
  <c r="E42" i="22"/>
  <c r="E51" i="22" s="1"/>
  <c r="E52" i="22" s="1"/>
  <c r="E43" i="22"/>
  <c r="H43" i="22"/>
  <c r="E53" i="20"/>
  <c r="E41" i="20"/>
  <c r="R56" i="20"/>
  <c r="E55" i="20" s="1"/>
  <c r="T57" i="20"/>
  <c r="G54" i="20" s="1"/>
  <c r="U57" i="20"/>
  <c r="H54" i="20" s="1"/>
  <c r="D56" i="20"/>
  <c r="D57" i="20" s="1"/>
  <c r="D60" i="18"/>
  <c r="D27" i="17"/>
  <c r="E32" i="17"/>
  <c r="E37" i="17" s="1"/>
  <c r="E33" i="17"/>
  <c r="E36" i="17" s="1"/>
  <c r="E39" i="17" s="1"/>
  <c r="D42" i="16"/>
  <c r="E30" i="16"/>
  <c r="E28" i="16"/>
  <c r="G38" i="20"/>
  <c r="F47" i="20"/>
  <c r="F40" i="20"/>
  <c r="F41" i="20" s="1"/>
  <c r="D36" i="18"/>
  <c r="I27" i="11"/>
  <c r="C105" i="11" s="1"/>
  <c r="H40" i="16"/>
  <c r="D49" i="18"/>
  <c r="D52" i="18" s="1"/>
  <c r="D53" i="18" s="1"/>
  <c r="D55" i="18" s="1"/>
  <c r="F10" i="14"/>
  <c r="F24" i="14" s="1"/>
  <c r="E48" i="21"/>
  <c r="E51" i="21" s="1"/>
  <c r="E73" i="21"/>
  <c r="E76" i="21" s="1"/>
  <c r="H48" i="21"/>
  <c r="H51" i="21" s="1"/>
  <c r="H73" i="21"/>
  <c r="H76" i="21" s="1"/>
  <c r="F48" i="21"/>
  <c r="F51" i="21" s="1"/>
  <c r="F73" i="21"/>
  <c r="F76" i="21" s="1"/>
  <c r="F24" i="18"/>
  <c r="F32" i="18" s="1"/>
  <c r="F33" i="18"/>
  <c r="E24" i="18"/>
  <c r="E32" i="18" s="1"/>
  <c r="E35" i="18" s="1"/>
  <c r="E36" i="18" s="1"/>
  <c r="G22" i="18"/>
  <c r="E42" i="16"/>
  <c r="E40" i="16" s="1"/>
  <c r="E39" i="15"/>
  <c r="D38" i="17"/>
  <c r="D39" i="17" s="1"/>
  <c r="G33" i="17"/>
  <c r="G36" i="17" s="1"/>
  <c r="F33" i="17"/>
  <c r="F36" i="17" s="1"/>
  <c r="F30" i="16"/>
  <c r="G28" i="16"/>
  <c r="I30" i="16"/>
  <c r="G42" i="16"/>
  <c r="G40" i="16" s="1"/>
  <c r="F28" i="16"/>
  <c r="H30" i="16"/>
  <c r="F42" i="16"/>
  <c r="F40" i="16" s="1"/>
  <c r="I28" i="16"/>
  <c r="G30" i="16"/>
  <c r="G37" i="15"/>
  <c r="F39" i="15"/>
  <c r="D37" i="10"/>
  <c r="C9" i="9"/>
  <c r="F11" i="9" l="1"/>
  <c r="C19" i="9" s="1"/>
  <c r="R55" i="20"/>
  <c r="R54" i="20" s="1"/>
  <c r="S56" i="20" s="1"/>
  <c r="S55" i="20" s="1"/>
  <c r="S54" i="20" s="1"/>
  <c r="T56" i="20" s="1"/>
  <c r="T55" i="20" s="1"/>
  <c r="T54" i="20" s="1"/>
  <c r="E57" i="20"/>
  <c r="E58" i="20" s="1"/>
  <c r="E41" i="22"/>
  <c r="E40" i="22" s="1"/>
  <c r="F42" i="22" s="1"/>
  <c r="F51" i="22" s="1"/>
  <c r="F52" i="22" s="1"/>
  <c r="F53" i="22" s="1"/>
  <c r="E55" i="22"/>
  <c r="E56" i="22" s="1"/>
  <c r="E57" i="22" s="1"/>
  <c r="E60" i="22" s="1"/>
  <c r="E67" i="22" s="1"/>
  <c r="E53" i="22"/>
  <c r="F48" i="20"/>
  <c r="F53" i="20" s="1"/>
  <c r="D58" i="20"/>
  <c r="I39" i="16"/>
  <c r="E32" i="16"/>
  <c r="E33" i="16" s="1"/>
  <c r="E36" i="16" s="1"/>
  <c r="E43" i="16" s="1"/>
  <c r="G32" i="16"/>
  <c r="G33" i="16" s="1"/>
  <c r="G36" i="16" s="1"/>
  <c r="G43" i="16" s="1"/>
  <c r="D40" i="16"/>
  <c r="D43" i="16" s="1"/>
  <c r="C20" i="9"/>
  <c r="C34" i="9" s="1"/>
  <c r="C52" i="9" s="1"/>
  <c r="C24" i="9"/>
  <c r="C33" i="9" s="1"/>
  <c r="C50" i="9" s="1"/>
  <c r="H38" i="20"/>
  <c r="G47" i="20"/>
  <c r="G40" i="20"/>
  <c r="I51" i="21"/>
  <c r="D101" i="21" s="1"/>
  <c r="H43" i="14"/>
  <c r="I71" i="21"/>
  <c r="I76" i="21" s="1"/>
  <c r="D104" i="21" s="1"/>
  <c r="F35" i="18"/>
  <c r="F36" i="18" s="1"/>
  <c r="H22" i="18"/>
  <c r="G33" i="18"/>
  <c r="G24" i="18"/>
  <c r="G32" i="18" s="1"/>
  <c r="E31" i="17"/>
  <c r="E30" i="17" s="1"/>
  <c r="F32" i="17" s="1"/>
  <c r="F32" i="16"/>
  <c r="F33" i="16" s="1"/>
  <c r="F36" i="16" s="1"/>
  <c r="F43" i="16" s="1"/>
  <c r="H32" i="16"/>
  <c r="H33" i="16" s="1"/>
  <c r="H36" i="16" s="1"/>
  <c r="H43" i="16" s="1"/>
  <c r="I32" i="16"/>
  <c r="I33" i="16" s="1"/>
  <c r="I36" i="16" s="1"/>
  <c r="G39" i="15"/>
  <c r="H37" i="15"/>
  <c r="C37" i="7"/>
  <c r="C38" i="7" s="1"/>
  <c r="E27" i="7"/>
  <c r="F27" i="7"/>
  <c r="G27" i="7"/>
  <c r="H27" i="7"/>
  <c r="I27" i="7"/>
  <c r="J27" i="7"/>
  <c r="K27" i="7"/>
  <c r="L27" i="7"/>
  <c r="M27" i="7"/>
  <c r="E28" i="7"/>
  <c r="F28" i="7"/>
  <c r="G28" i="7"/>
  <c r="H28" i="7"/>
  <c r="I28" i="7"/>
  <c r="J28" i="7"/>
  <c r="K28" i="7"/>
  <c r="L28" i="7"/>
  <c r="M28" i="7"/>
  <c r="E29" i="7"/>
  <c r="F29" i="7"/>
  <c r="G29" i="7"/>
  <c r="H29" i="7"/>
  <c r="I29" i="7"/>
  <c r="J29" i="7"/>
  <c r="K29" i="7"/>
  <c r="L29" i="7"/>
  <c r="M29" i="7"/>
  <c r="E30" i="7"/>
  <c r="F30" i="7"/>
  <c r="F36" i="7" s="1"/>
  <c r="G30" i="7"/>
  <c r="G36" i="7" s="1"/>
  <c r="H30" i="7"/>
  <c r="H36" i="7" s="1"/>
  <c r="I30" i="7"/>
  <c r="J30" i="7"/>
  <c r="J36" i="7" s="1"/>
  <c r="K30" i="7"/>
  <c r="K36" i="7" s="1"/>
  <c r="L30" i="7"/>
  <c r="L36" i="7" s="1"/>
  <c r="M30" i="7"/>
  <c r="D36" i="7"/>
  <c r="D29" i="7"/>
  <c r="D31" i="7" s="1"/>
  <c r="D32" i="7" s="1"/>
  <c r="C49" i="6"/>
  <c r="K38" i="6"/>
  <c r="K37" i="6" s="1"/>
  <c r="D37" i="6"/>
  <c r="E37" i="6"/>
  <c r="F37" i="6"/>
  <c r="G37" i="6"/>
  <c r="H37" i="6"/>
  <c r="C38" i="6"/>
  <c r="E28" i="6"/>
  <c r="F28" i="6"/>
  <c r="F34" i="6" s="1"/>
  <c r="G28" i="6"/>
  <c r="G34" i="6" s="1"/>
  <c r="H28" i="6"/>
  <c r="H34" i="6" s="1"/>
  <c r="D34" i="6"/>
  <c r="E27" i="6"/>
  <c r="F27" i="6"/>
  <c r="G27" i="6"/>
  <c r="H27" i="6"/>
  <c r="D27" i="6"/>
  <c r="E24" i="6"/>
  <c r="F24" i="6"/>
  <c r="G24" i="6"/>
  <c r="H24" i="6"/>
  <c r="E26" i="6"/>
  <c r="F26" i="6"/>
  <c r="G26" i="6"/>
  <c r="H26" i="6"/>
  <c r="H36" i="6"/>
  <c r="C49" i="5"/>
  <c r="C51" i="5" s="1"/>
  <c r="H38" i="5"/>
  <c r="C39" i="5"/>
  <c r="E29" i="5"/>
  <c r="E35" i="5" s="1"/>
  <c r="F29" i="5"/>
  <c r="F35" i="5" s="1"/>
  <c r="G29" i="5"/>
  <c r="G35" i="5" s="1"/>
  <c r="H29" i="5"/>
  <c r="E28" i="5"/>
  <c r="F28" i="5"/>
  <c r="G28" i="5"/>
  <c r="H28" i="5"/>
  <c r="E27" i="5"/>
  <c r="F27" i="5"/>
  <c r="G27" i="5"/>
  <c r="H27" i="5"/>
  <c r="D27" i="5"/>
  <c r="E26" i="5"/>
  <c r="F26" i="5"/>
  <c r="G26" i="5"/>
  <c r="H26" i="5"/>
  <c r="E24" i="5"/>
  <c r="F24" i="5"/>
  <c r="E40" i="5" s="1"/>
  <c r="E38" i="5" s="1"/>
  <c r="G24" i="5"/>
  <c r="H24" i="5"/>
  <c r="G38" i="5" s="1"/>
  <c r="D24" i="5"/>
  <c r="D55" i="4"/>
  <c r="D32" i="4"/>
  <c r="D37" i="4" s="1"/>
  <c r="D27" i="4"/>
  <c r="D10" i="4"/>
  <c r="D31" i="4" s="1"/>
  <c r="D36" i="4" s="1"/>
  <c r="C54" i="6" l="1"/>
  <c r="C51" i="6"/>
  <c r="F55" i="20"/>
  <c r="F57" i="20" s="1"/>
  <c r="F58" i="20" s="1"/>
  <c r="F41" i="22"/>
  <c r="F40" i="22" s="1"/>
  <c r="G42" i="22" s="1"/>
  <c r="G41" i="22" s="1"/>
  <c r="G40" i="22" s="1"/>
  <c r="H42" i="22" s="1"/>
  <c r="H51" i="22" s="1"/>
  <c r="H52" i="22" s="1"/>
  <c r="C40" i="5"/>
  <c r="D30" i="5"/>
  <c r="D31" i="5" s="1"/>
  <c r="D34" i="5" s="1"/>
  <c r="F55" i="22"/>
  <c r="F56" i="22" s="1"/>
  <c r="F57" i="22" s="1"/>
  <c r="F60" i="22" s="1"/>
  <c r="F67" i="22" s="1"/>
  <c r="D40" i="4"/>
  <c r="D42" i="4" s="1"/>
  <c r="D57" i="4" s="1"/>
  <c r="G48" i="20"/>
  <c r="G53" i="20" s="1"/>
  <c r="G41" i="20"/>
  <c r="I38" i="20"/>
  <c r="H47" i="20"/>
  <c r="H40" i="20"/>
  <c r="H48" i="20" s="1"/>
  <c r="D29" i="6"/>
  <c r="D30" i="6" s="1"/>
  <c r="D33" i="6" s="1"/>
  <c r="D40" i="6" s="1"/>
  <c r="E34" i="6"/>
  <c r="H35" i="6"/>
  <c r="H25" i="6"/>
  <c r="H29" i="6" s="1"/>
  <c r="H30" i="6" s="1"/>
  <c r="H33" i="6" s="1"/>
  <c r="C55" i="6"/>
  <c r="C56" i="6" s="1"/>
  <c r="E30" i="5"/>
  <c r="E31" i="5" s="1"/>
  <c r="E34" i="5" s="1"/>
  <c r="E41" i="5" s="1"/>
  <c r="F40" i="5"/>
  <c r="F38" i="5" s="1"/>
  <c r="C38" i="5"/>
  <c r="C41" i="5" s="1"/>
  <c r="U56" i="20"/>
  <c r="U55" i="20" s="1"/>
  <c r="U54" i="20" s="1"/>
  <c r="D24" i="10"/>
  <c r="D32" i="10" s="1"/>
  <c r="D48" i="10" s="1"/>
  <c r="I31" i="7"/>
  <c r="I32" i="7" s="1"/>
  <c r="I35" i="7" s="1"/>
  <c r="L31" i="7"/>
  <c r="L32" i="7" s="1"/>
  <c r="L35" i="7" s="1"/>
  <c r="L38" i="7" s="1"/>
  <c r="M31" i="7"/>
  <c r="M32" i="7" s="1"/>
  <c r="M35" i="7" s="1"/>
  <c r="E31" i="7"/>
  <c r="E32" i="7" s="1"/>
  <c r="E35" i="7" s="1"/>
  <c r="F29" i="6"/>
  <c r="F30" i="6" s="1"/>
  <c r="F33" i="6" s="1"/>
  <c r="F40" i="6" s="1"/>
  <c r="G35" i="18"/>
  <c r="G36" i="18" s="1"/>
  <c r="H33" i="18"/>
  <c r="H24" i="18"/>
  <c r="H32" i="18" s="1"/>
  <c r="I43" i="16"/>
  <c r="D55" i="16" s="1"/>
  <c r="F37" i="17"/>
  <c r="F31" i="17"/>
  <c r="F30" i="17" s="1"/>
  <c r="G32" i="17" s="1"/>
  <c r="I37" i="15"/>
  <c r="H39" i="15"/>
  <c r="M36" i="7"/>
  <c r="I36" i="7"/>
  <c r="E36" i="7"/>
  <c r="D35" i="7"/>
  <c r="D38" i="7" s="1"/>
  <c r="H31" i="7"/>
  <c r="H32" i="7" s="1"/>
  <c r="H35" i="7" s="1"/>
  <c r="H38" i="7" s="1"/>
  <c r="J31" i="7"/>
  <c r="J32" i="7" s="1"/>
  <c r="J35" i="7" s="1"/>
  <c r="J38" i="7" s="1"/>
  <c r="F31" i="7"/>
  <c r="F32" i="7" s="1"/>
  <c r="F35" i="7" s="1"/>
  <c r="F38" i="7" s="1"/>
  <c r="K31" i="7"/>
  <c r="K32" i="7" s="1"/>
  <c r="K35" i="7" s="1"/>
  <c r="K38" i="7" s="1"/>
  <c r="G31" i="7"/>
  <c r="G32" i="7" s="1"/>
  <c r="G35" i="7" s="1"/>
  <c r="G38" i="7" s="1"/>
  <c r="C37" i="6"/>
  <c r="C40" i="6" s="1"/>
  <c r="G29" i="6"/>
  <c r="G30" i="6" s="1"/>
  <c r="G33" i="6" s="1"/>
  <c r="G40" i="6" s="1"/>
  <c r="E29" i="6"/>
  <c r="E30" i="6" s="1"/>
  <c r="E33" i="6" s="1"/>
  <c r="F30" i="5"/>
  <c r="F31" i="5" s="1"/>
  <c r="F34" i="5" s="1"/>
  <c r="F41" i="5" s="1"/>
  <c r="H30" i="5"/>
  <c r="D40" i="5"/>
  <c r="G30" i="5"/>
  <c r="G31" i="5" s="1"/>
  <c r="G34" i="5" s="1"/>
  <c r="G41" i="5" s="1"/>
  <c r="H35" i="5"/>
  <c r="H31" i="5"/>
  <c r="H34" i="5" s="1"/>
  <c r="D35" i="5"/>
  <c r="G51" i="22" l="1"/>
  <c r="G52" i="22" s="1"/>
  <c r="G55" i="22" s="1"/>
  <c r="G56" i="22" s="1"/>
  <c r="G57" i="22" s="1"/>
  <c r="G60" i="22" s="1"/>
  <c r="G67" i="22" s="1"/>
  <c r="E40" i="6"/>
  <c r="H41" i="22"/>
  <c r="H40" i="22" s="1"/>
  <c r="I42" i="22" s="1"/>
  <c r="G53" i="22"/>
  <c r="H37" i="5"/>
  <c r="H41" i="5" s="1"/>
  <c r="H53" i="20"/>
  <c r="M38" i="7"/>
  <c r="I38" i="7"/>
  <c r="E53" i="4"/>
  <c r="G52" i="4" s="1"/>
  <c r="H55" i="22"/>
  <c r="H56" i="22" s="1"/>
  <c r="H57" i="22" s="1"/>
  <c r="H60" i="22" s="1"/>
  <c r="H67" i="22" s="1"/>
  <c r="H53" i="22"/>
  <c r="J38" i="20"/>
  <c r="I47" i="20"/>
  <c r="I40" i="20"/>
  <c r="I48" i="20" s="1"/>
  <c r="H41" i="20"/>
  <c r="C25" i="9"/>
  <c r="C43" i="9"/>
  <c r="C45" i="9" s="1"/>
  <c r="C54" i="9" s="1"/>
  <c r="H40" i="6"/>
  <c r="C63" i="6" s="1"/>
  <c r="K42" i="6"/>
  <c r="O45" i="6" s="1"/>
  <c r="G41" i="6" s="1"/>
  <c r="V56" i="20"/>
  <c r="V55" i="20" s="1"/>
  <c r="V54" i="20" s="1"/>
  <c r="D25" i="10"/>
  <c r="D33" i="10" s="1"/>
  <c r="D50" i="10" s="1"/>
  <c r="I41" i="22"/>
  <c r="I40" i="22" s="1"/>
  <c r="I51" i="22"/>
  <c r="I52" i="22" s="1"/>
  <c r="I55" i="22" s="1"/>
  <c r="H35" i="18"/>
  <c r="H36" i="18" s="1"/>
  <c r="D57" i="18" s="1"/>
  <c r="G37" i="17"/>
  <c r="G39" i="17" s="1"/>
  <c r="G31" i="17"/>
  <c r="G30" i="17" s="1"/>
  <c r="F39" i="17"/>
  <c r="J37" i="15"/>
  <c r="I38" i="15" s="1"/>
  <c r="E38" i="7"/>
  <c r="D38" i="5"/>
  <c r="D41" i="5" s="1"/>
  <c r="C58" i="6" l="1"/>
  <c r="M45" i="6"/>
  <c r="E41" i="6" s="1"/>
  <c r="C53" i="5"/>
  <c r="I53" i="20"/>
  <c r="D42" i="17"/>
  <c r="D41" i="17"/>
  <c r="D44" i="17" s="1"/>
  <c r="C40" i="7"/>
  <c r="I53" i="22"/>
  <c r="I41" i="20"/>
  <c r="K38" i="20"/>
  <c r="J47" i="20"/>
  <c r="J40" i="20"/>
  <c r="J48" i="20" s="1"/>
  <c r="D61" i="18"/>
  <c r="D59" i="18" s="1"/>
  <c r="P45" i="6"/>
  <c r="H41" i="6" s="1"/>
  <c r="C43" i="6"/>
  <c r="C44" i="6" s="1"/>
  <c r="L45" i="6"/>
  <c r="D41" i="6" s="1"/>
  <c r="L44" i="6"/>
  <c r="D42" i="6" s="1"/>
  <c r="D41" i="10"/>
  <c r="D43" i="10" s="1"/>
  <c r="D52" i="10" s="1"/>
  <c r="N45" i="6"/>
  <c r="F41" i="6" s="1"/>
  <c r="I56" i="22"/>
  <c r="I57" i="22" s="1"/>
  <c r="I60" i="22" s="1"/>
  <c r="I67" i="22" s="1"/>
  <c r="D69" i="22" s="1"/>
  <c r="J52" i="22"/>
  <c r="J55" i="22" s="1"/>
  <c r="J56" i="22" s="1"/>
  <c r="J57" i="22" s="1"/>
  <c r="I39" i="15"/>
  <c r="D41" i="15" s="1"/>
  <c r="C45" i="6" l="1"/>
  <c r="J41" i="20"/>
  <c r="D68" i="6"/>
  <c r="L38" i="20"/>
  <c r="K47" i="20"/>
  <c r="K40" i="20"/>
  <c r="K48" i="20" s="1"/>
  <c r="K53" i="20" s="1"/>
  <c r="K58" i="20" s="1"/>
  <c r="J53" i="20"/>
  <c r="L43" i="6"/>
  <c r="L42" i="6" s="1"/>
  <c r="M44" i="6" s="1"/>
  <c r="E68" i="6" s="1"/>
  <c r="D44" i="6"/>
  <c r="D45" i="6" s="1"/>
  <c r="M43" i="6" l="1"/>
  <c r="M42" i="6" s="1"/>
  <c r="N44" i="6" s="1"/>
  <c r="F68" i="6" s="1"/>
  <c r="E42" i="6"/>
  <c r="K41" i="20"/>
  <c r="J58" i="20"/>
  <c r="M38" i="20"/>
  <c r="L47" i="20"/>
  <c r="L40" i="20"/>
  <c r="L48" i="20" s="1"/>
  <c r="N43" i="6"/>
  <c r="N42" i="6" s="1"/>
  <c r="O44" i="6" s="1"/>
  <c r="G68" i="6" s="1"/>
  <c r="F42" i="6"/>
  <c r="F44" i="6" s="1"/>
  <c r="F45" i="6" s="1"/>
  <c r="E44" i="6" l="1"/>
  <c r="E45" i="6" s="1"/>
  <c r="L53" i="20"/>
  <c r="L58" i="20" s="1"/>
  <c r="N38" i="20"/>
  <c r="M47" i="20"/>
  <c r="M40" i="20"/>
  <c r="M48" i="20" s="1"/>
  <c r="L41" i="20"/>
  <c r="O43" i="6"/>
  <c r="O42" i="6" s="1"/>
  <c r="G42" i="6"/>
  <c r="G44" i="6" s="1"/>
  <c r="M53" i="20" l="1"/>
  <c r="M58" i="20" s="1"/>
  <c r="M41" i="20"/>
  <c r="N47" i="20"/>
  <c r="N40" i="20"/>
  <c r="N48" i="20" s="1"/>
  <c r="N53" i="20" s="1"/>
  <c r="G45" i="6"/>
  <c r="P44" i="6"/>
  <c r="H68" i="6" s="1"/>
  <c r="C71" i="6" s="1"/>
  <c r="D107" i="20" l="1"/>
  <c r="D102" i="20"/>
  <c r="N58" i="20"/>
  <c r="N41" i="20"/>
  <c r="P43" i="6"/>
  <c r="P42" i="6" s="1"/>
  <c r="H42" i="6"/>
  <c r="H44" i="6" l="1"/>
  <c r="C64" i="6" s="1"/>
  <c r="H45" i="6" l="1"/>
  <c r="C60" i="6" s="1"/>
  <c r="C62" i="6"/>
  <c r="F47" i="14"/>
  <c r="F42" i="14"/>
  <c r="F45" i="14" s="1"/>
  <c r="H47" i="14" l="1"/>
  <c r="F51" i="14" s="1"/>
  <c r="D39" i="13" l="1"/>
  <c r="H21" i="13"/>
  <c r="H22" i="13" s="1"/>
  <c r="G21" i="13"/>
  <c r="G22" i="13" s="1"/>
  <c r="F21" i="13"/>
  <c r="F22" i="13" s="1"/>
  <c r="F23" i="13" s="1"/>
  <c r="G33" i="13" s="1"/>
  <c r="E21" i="13"/>
  <c r="D21" i="13"/>
  <c r="E17" i="13"/>
  <c r="F17" i="13" s="1"/>
  <c r="G17" i="13" s="1"/>
  <c r="H17" i="13" s="1"/>
  <c r="D43" i="12"/>
  <c r="D48" i="12" s="1"/>
  <c r="D50" i="12" s="1"/>
  <c r="E42" i="12"/>
  <c r="F42" i="12" s="1"/>
  <c r="D44" i="11"/>
  <c r="I36" i="11" s="1"/>
  <c r="D43" i="11"/>
  <c r="D42" i="11"/>
  <c r="I29" i="11"/>
  <c r="I39" i="11" s="1"/>
  <c r="H29" i="11"/>
  <c r="H39" i="11" s="1"/>
  <c r="G29" i="11"/>
  <c r="G39" i="11" s="1"/>
  <c r="F29" i="11"/>
  <c r="F39" i="11" s="1"/>
  <c r="E29" i="11"/>
  <c r="I28" i="11"/>
  <c r="I38" i="11" s="1"/>
  <c r="H28" i="11"/>
  <c r="H38" i="11" s="1"/>
  <c r="G28" i="11"/>
  <c r="G38" i="11" s="1"/>
  <c r="F28" i="11"/>
  <c r="F38" i="11" s="1"/>
  <c r="E38" i="11"/>
  <c r="I26" i="11"/>
  <c r="I35" i="11" s="1"/>
  <c r="H26" i="11"/>
  <c r="G26" i="11"/>
  <c r="F26" i="11"/>
  <c r="F35" i="11" s="1"/>
  <c r="E35" i="11"/>
  <c r="G51" i="11"/>
  <c r="E52" i="11" s="1"/>
  <c r="F52" i="11" s="1"/>
  <c r="E51" i="11"/>
  <c r="F51" i="11" s="1"/>
  <c r="H92" i="11"/>
  <c r="E39" i="11" l="1"/>
  <c r="E31" i="11"/>
  <c r="E32" i="11" s="1"/>
  <c r="D41" i="11"/>
  <c r="D45" i="11" s="1"/>
  <c r="G55" i="20"/>
  <c r="G37" i="13"/>
  <c r="G39" i="13" s="1"/>
  <c r="H23" i="13"/>
  <c r="G23" i="13"/>
  <c r="D22" i="13"/>
  <c r="D23" i="13" s="1"/>
  <c r="G52" i="11"/>
  <c r="G53" i="11" s="1"/>
  <c r="E54" i="11" s="1"/>
  <c r="F54" i="11" s="1"/>
  <c r="F93" i="11"/>
  <c r="H31" i="11"/>
  <c r="H40" i="11" s="1"/>
  <c r="E22" i="13"/>
  <c r="E23" i="13" s="1"/>
  <c r="F48" i="12"/>
  <c r="F50" i="12" s="1"/>
  <c r="G42" i="12"/>
  <c r="F43" i="12"/>
  <c r="E43" i="12"/>
  <c r="E48" i="12" s="1"/>
  <c r="E50" i="12" s="1"/>
  <c r="G31" i="11"/>
  <c r="G40" i="11" s="1"/>
  <c r="F31" i="11"/>
  <c r="F40" i="11" s="1"/>
  <c r="F45" i="11" s="1"/>
  <c r="E108" i="11" s="1"/>
  <c r="G35" i="11"/>
  <c r="H35" i="11"/>
  <c r="G57" i="20" l="1"/>
  <c r="G58" i="20" s="1"/>
  <c r="H45" i="11"/>
  <c r="G108" i="11" s="1"/>
  <c r="C101" i="11"/>
  <c r="G92" i="11"/>
  <c r="G90" i="11"/>
  <c r="G45" i="11"/>
  <c r="F108" i="11" s="1"/>
  <c r="H55" i="20"/>
  <c r="H57" i="20" s="1"/>
  <c r="H58" i="20" s="1"/>
  <c r="G54" i="11"/>
  <c r="E55" i="11" s="1"/>
  <c r="F55" i="11" s="1"/>
  <c r="E53" i="11"/>
  <c r="F53" i="11" s="1"/>
  <c r="H33" i="13"/>
  <c r="H37" i="13" s="1"/>
  <c r="H39" i="13" s="1"/>
  <c r="I33" i="13"/>
  <c r="I37" i="13" s="1"/>
  <c r="I38" i="13" s="1"/>
  <c r="F33" i="13"/>
  <c r="F37" i="13" s="1"/>
  <c r="F39" i="13" s="1"/>
  <c r="E33" i="13"/>
  <c r="E37" i="13" s="1"/>
  <c r="E39" i="13" s="1"/>
  <c r="G91" i="11"/>
  <c r="H32" i="11"/>
  <c r="G32" i="11"/>
  <c r="G43" i="12"/>
  <c r="G48" i="12" s="1"/>
  <c r="G49" i="12" s="1"/>
  <c r="F32" i="11"/>
  <c r="G55" i="11" l="1"/>
  <c r="E56" i="11" s="1"/>
  <c r="F56" i="11" s="1"/>
  <c r="G50" i="12"/>
  <c r="E52" i="12" s="1"/>
  <c r="I55" i="20"/>
  <c r="I39" i="13"/>
  <c r="D41" i="13" s="1"/>
  <c r="G93" i="11"/>
  <c r="E40" i="11"/>
  <c r="E45" i="11" s="1"/>
  <c r="D108" i="11" s="1"/>
  <c r="I31" i="11"/>
  <c r="I40" i="11" s="1"/>
  <c r="I45" i="11" s="1"/>
  <c r="H108" i="11" s="1"/>
  <c r="I57" i="20" l="1"/>
  <c r="D108" i="20" s="1"/>
  <c r="D106" i="20" s="1"/>
  <c r="D110" i="20"/>
  <c r="G56" i="11"/>
  <c r="G57" i="11" s="1"/>
  <c r="I32" i="11"/>
  <c r="E57" i="11" l="1"/>
  <c r="F57" i="11" s="1"/>
  <c r="I58" i="20"/>
  <c r="D104" i="20" s="1"/>
  <c r="G58" i="11"/>
  <c r="E58" i="11"/>
  <c r="F58" i="11" s="1"/>
  <c r="E59" i="11" l="1"/>
  <c r="F59" i="11" s="1"/>
  <c r="G59" i="11"/>
  <c r="E60" i="11" l="1"/>
  <c r="F60" i="11" s="1"/>
  <c r="G60" i="11"/>
  <c r="E61" i="11" l="1"/>
  <c r="F61" i="11" s="1"/>
  <c r="G61" i="11"/>
  <c r="G62" i="11" l="1"/>
  <c r="E62" i="11"/>
  <c r="F62" i="11" s="1"/>
  <c r="E63" i="11" l="1"/>
  <c r="F63" i="11" s="1"/>
  <c r="G63" i="11"/>
  <c r="E64" i="11" l="1"/>
  <c r="F64" i="11" s="1"/>
  <c r="G64" i="11"/>
  <c r="E65" i="11" l="1"/>
  <c r="F65" i="11" s="1"/>
  <c r="G65" i="11"/>
  <c r="G66" i="11" l="1"/>
  <c r="E66" i="11"/>
  <c r="F66" i="11" s="1"/>
  <c r="G67" i="11" l="1"/>
  <c r="E67" i="11"/>
  <c r="F67" i="11" s="1"/>
  <c r="E68" i="11" l="1"/>
  <c r="F68" i="11" s="1"/>
  <c r="G68" i="11"/>
  <c r="E69" i="11" l="1"/>
  <c r="F69" i="11" s="1"/>
  <c r="G69" i="11"/>
  <c r="G70" i="11" l="1"/>
  <c r="E70" i="11"/>
  <c r="F70" i="11" s="1"/>
  <c r="G71" i="11" l="1"/>
  <c r="E71" i="11"/>
  <c r="F71" i="11" s="1"/>
  <c r="E72" i="11" l="1"/>
  <c r="F72" i="11" s="1"/>
  <c r="G72" i="11"/>
  <c r="E73" i="11" l="1"/>
  <c r="F73" i="11" s="1"/>
  <c r="G73" i="11"/>
  <c r="G74" i="11" l="1"/>
  <c r="E74" i="11"/>
  <c r="F74" i="11" s="1"/>
  <c r="G75" i="11" l="1"/>
  <c r="E75" i="11"/>
  <c r="F75" i="11" s="1"/>
  <c r="E76" i="11" l="1"/>
  <c r="F76" i="11" s="1"/>
  <c r="G76" i="11"/>
  <c r="E77" i="11" l="1"/>
  <c r="F77" i="11" s="1"/>
  <c r="G77" i="11"/>
  <c r="G78" i="11" l="1"/>
  <c r="E78" i="11"/>
  <c r="F78" i="11" s="1"/>
  <c r="G79" i="11" l="1"/>
  <c r="E79" i="11"/>
  <c r="F79" i="11" s="1"/>
  <c r="E80" i="11" l="1"/>
  <c r="F80" i="11" s="1"/>
  <c r="G80" i="11"/>
  <c r="F81" i="11" l="1"/>
  <c r="F82" i="11" s="1"/>
  <c r="H90" i="11" s="1"/>
  <c r="H95" i="11" l="1"/>
  <c r="H97" i="11" s="1"/>
  <c r="D99" i="11" l="1"/>
  <c r="D110" i="11" s="1"/>
  <c r="C103" i="11"/>
</calcChain>
</file>

<file path=xl/sharedStrings.xml><?xml version="1.0" encoding="utf-8"?>
<sst xmlns="http://schemas.openxmlformats.org/spreadsheetml/2006/main" count="1427" uniqueCount="497">
  <si>
    <t>año 1</t>
  </si>
  <si>
    <t>año 2</t>
  </si>
  <si>
    <t>año 3</t>
  </si>
  <si>
    <t>año 4</t>
  </si>
  <si>
    <t>ventas</t>
  </si>
  <si>
    <t>EBITD</t>
  </si>
  <si>
    <t>depreciación</t>
  </si>
  <si>
    <t>EBIT</t>
  </si>
  <si>
    <t>Tax</t>
  </si>
  <si>
    <t>NOPAT</t>
  </si>
  <si>
    <t>Capex</t>
  </si>
  <si>
    <t>WC</t>
  </si>
  <si>
    <t>β</t>
  </si>
  <si>
    <t>C1</t>
  </si>
  <si>
    <t>C2</t>
  </si>
  <si>
    <t>TIR</t>
  </si>
  <si>
    <t>Depreciación</t>
  </si>
  <si>
    <t>VPN</t>
  </si>
  <si>
    <t>Ventas</t>
  </si>
  <si>
    <t>D/E</t>
  </si>
  <si>
    <t>riesgo país</t>
  </si>
  <si>
    <t>D</t>
  </si>
  <si>
    <t>WACC</t>
  </si>
  <si>
    <t>año 0</t>
  </si>
  <si>
    <t>ingresos</t>
  </si>
  <si>
    <t>costos</t>
  </si>
  <si>
    <t>utilidad neta</t>
  </si>
  <si>
    <t>inversión</t>
  </si>
  <si>
    <t xml:space="preserve">   activos fijos</t>
  </si>
  <si>
    <t xml:space="preserve">   capital de trabajo</t>
  </si>
  <si>
    <t>a)</t>
  </si>
  <si>
    <t>b)</t>
  </si>
  <si>
    <t>c)</t>
  </si>
  <si>
    <t>A</t>
  </si>
  <si>
    <t>B</t>
  </si>
  <si>
    <t>C</t>
  </si>
  <si>
    <t>proyecto</t>
  </si>
  <si>
    <t>valor instalaciones</t>
  </si>
  <si>
    <t>año 5</t>
  </si>
  <si>
    <t>costo de oportunidad</t>
  </si>
  <si>
    <t>producción</t>
  </si>
  <si>
    <t>valor terreno (año 5)</t>
  </si>
  <si>
    <t>precios</t>
  </si>
  <si>
    <t>capital de trabajo</t>
  </si>
  <si>
    <t>costos fijos</t>
  </si>
  <si>
    <t>tax</t>
  </si>
  <si>
    <t>costos variables</t>
  </si>
  <si>
    <t>estructura de capital (valor mercado)</t>
  </si>
  <si>
    <t>factor ajuste</t>
  </si>
  <si>
    <t>bonos</t>
  </si>
  <si>
    <t>acciones comunes</t>
  </si>
  <si>
    <t>acciones preferentes</t>
  </si>
  <si>
    <t>total estructura de capital</t>
  </si>
  <si>
    <t>costo bonos</t>
  </si>
  <si>
    <t>tasa semestral cupón</t>
  </si>
  <si>
    <t>principal</t>
  </si>
  <si>
    <t>intereses</t>
  </si>
  <si>
    <t>pago</t>
  </si>
  <si>
    <t>saldo</t>
  </si>
  <si>
    <t>semestre 0</t>
  </si>
  <si>
    <t>semestre 1</t>
  </si>
  <si>
    <t>semestre 2</t>
  </si>
  <si>
    <t>semestre 3</t>
  </si>
  <si>
    <t>semestre 4</t>
  </si>
  <si>
    <t>semestre 5</t>
  </si>
  <si>
    <t>semestre 6</t>
  </si>
  <si>
    <t>semestre 7</t>
  </si>
  <si>
    <t>semestre 8</t>
  </si>
  <si>
    <t>semestre 9</t>
  </si>
  <si>
    <t>semestre 10</t>
  </si>
  <si>
    <t>semestre 11</t>
  </si>
  <si>
    <t>semestre 12</t>
  </si>
  <si>
    <t>semestre 13</t>
  </si>
  <si>
    <t>semestre 14</t>
  </si>
  <si>
    <t>semestre 15</t>
  </si>
  <si>
    <t>semestre 16</t>
  </si>
  <si>
    <t>semestre 17</t>
  </si>
  <si>
    <t>semestre 18</t>
  </si>
  <si>
    <t>semestre 19</t>
  </si>
  <si>
    <t>semestre 20</t>
  </si>
  <si>
    <t>semestre 21</t>
  </si>
  <si>
    <t>semestre 22</t>
  </si>
  <si>
    <t>semestre 23</t>
  </si>
  <si>
    <t>semestre 24</t>
  </si>
  <si>
    <t>semestre 25</t>
  </si>
  <si>
    <t>semestre 26</t>
  </si>
  <si>
    <t>semestre 27</t>
  </si>
  <si>
    <t>semestre 28</t>
  </si>
  <si>
    <t>semestre 29</t>
  </si>
  <si>
    <t>semestre 30</t>
  </si>
  <si>
    <t>tasa sem.</t>
  </si>
  <si>
    <t>tasa anual</t>
  </si>
  <si>
    <t>costo acciones comunes</t>
  </si>
  <si>
    <t>costo acciones preferentes</t>
  </si>
  <si>
    <t>impuesto renta</t>
  </si>
  <si>
    <t>flujo de caja</t>
  </si>
  <si>
    <t>recupero capital de trabajo</t>
  </si>
  <si>
    <t>recupero activos fijos</t>
  </si>
  <si>
    <t>FCL</t>
  </si>
  <si>
    <t>Cov (rm,rDiv A)</t>
  </si>
  <si>
    <t>Division A</t>
  </si>
  <si>
    <t>Cov (rm,rDiv B)</t>
  </si>
  <si>
    <t>Division B</t>
  </si>
  <si>
    <t>Var (rm)</t>
  </si>
  <si>
    <t>Division C</t>
  </si>
  <si>
    <t>EBITDA</t>
  </si>
  <si>
    <t>tax 0.4</t>
  </si>
  <si>
    <t>EBITDA *(1-Tax)</t>
  </si>
  <si>
    <t>FCL1</t>
  </si>
  <si>
    <t>ANEXO 1</t>
  </si>
  <si>
    <t>Ventas Incrementales y flujos de caja esperados (Miles de $)</t>
  </si>
  <si>
    <t>FCL 1</t>
  </si>
  <si>
    <t>+</t>
  </si>
  <si>
    <t>x</t>
  </si>
  <si>
    <t>VPNA</t>
  </si>
  <si>
    <t>Deuda</t>
  </si>
  <si>
    <t>Interes</t>
  </si>
  <si>
    <t>EFI</t>
  </si>
  <si>
    <t>año 4-n</t>
  </si>
  <si>
    <t>Como el proyecto es de LP se usa el bono con mayor plazo de vencimiento. El criterio de selección es el plazo u horizonte de inversión del proyecto.</t>
  </si>
  <si>
    <t>ambas soluciones son válidas</t>
  </si>
  <si>
    <t>beta</t>
  </si>
  <si>
    <t>VPA</t>
  </si>
  <si>
    <t>ahorros (ingreso)</t>
  </si>
  <si>
    <t>precio otra demanda</t>
  </si>
  <si>
    <t>otros costos</t>
  </si>
  <si>
    <t>año 6</t>
  </si>
  <si>
    <t>año 7</t>
  </si>
  <si>
    <t>año 8</t>
  </si>
  <si>
    <t>año 9</t>
  </si>
  <si>
    <t>año 10</t>
  </si>
  <si>
    <t>impto.a la renta</t>
  </si>
  <si>
    <t>=</t>
  </si>
  <si>
    <t>valor de recupero</t>
  </si>
  <si>
    <t>costo oportunidad inm.</t>
  </si>
  <si>
    <t>cuota</t>
  </si>
  <si>
    <t>(-) SD</t>
  </si>
  <si>
    <t>(+) EFI</t>
  </si>
  <si>
    <t>(+) Deuda</t>
  </si>
  <si>
    <t>FCA</t>
  </si>
  <si>
    <t>empresa A</t>
  </si>
  <si>
    <t>empresa B</t>
  </si>
  <si>
    <t>empresa C</t>
  </si>
  <si>
    <t>empresa D</t>
  </si>
  <si>
    <t>empresa E</t>
  </si>
  <si>
    <t>empresa F</t>
  </si>
  <si>
    <t>empresa G</t>
  </si>
  <si>
    <t>empresa H</t>
  </si>
  <si>
    <t>ventas (unidades físicas)</t>
  </si>
  <si>
    <t>precio</t>
  </si>
  <si>
    <t>erosión (unidades físicas)</t>
  </si>
  <si>
    <t>costo variable</t>
  </si>
  <si>
    <t>costo deuda</t>
  </si>
  <si>
    <t>impuesto a la renta</t>
  </si>
  <si>
    <t>valor de liquidación</t>
  </si>
  <si>
    <t>utilidad antes de impuestos</t>
  </si>
  <si>
    <t>utilidad operativa</t>
  </si>
  <si>
    <t>flujo de caja libre</t>
  </si>
  <si>
    <t>(+) deuda</t>
  </si>
  <si>
    <t>C3</t>
  </si>
  <si>
    <t xml:space="preserve">promedio </t>
  </si>
  <si>
    <t>D/A</t>
  </si>
  <si>
    <t>?</t>
  </si>
  <si>
    <t>parametros CAPM</t>
  </si>
  <si>
    <t>E/A</t>
  </si>
  <si>
    <t>año 1-n</t>
  </si>
  <si>
    <t>VPN@8.91%</t>
  </si>
  <si>
    <t>industria</t>
  </si>
  <si>
    <t>estado de resultados</t>
  </si>
  <si>
    <t>valor de liquidación (% inversión en AF)</t>
  </si>
  <si>
    <t>inversión activos fijos</t>
  </si>
  <si>
    <t>inversión en capital de trabajo</t>
  </si>
  <si>
    <t>ventas incrementales</t>
  </si>
  <si>
    <t>interés</t>
  </si>
  <si>
    <t>D/E industria</t>
  </si>
  <si>
    <t>tasa de impuesto a la renta</t>
  </si>
  <si>
    <t>costo fijo</t>
  </si>
  <si>
    <t>gasto de venta</t>
  </si>
  <si>
    <t>ganancias extraordinarias</t>
  </si>
  <si>
    <t>(+) depreciación</t>
  </si>
  <si>
    <t>valor en libros activo fijo</t>
  </si>
  <si>
    <t xml:space="preserve">   activo fijo</t>
  </si>
  <si>
    <t>D/D + E)</t>
  </si>
  <si>
    <t>E/(D + E)</t>
  </si>
  <si>
    <t>PANEL DE VARIABLES DE ENTRADA</t>
  </si>
  <si>
    <t>costo variable unitario</t>
  </si>
  <si>
    <t>producción/venta</t>
  </si>
  <si>
    <t>gastos de mantenimiento</t>
  </si>
  <si>
    <t>D/E benchmark</t>
  </si>
  <si>
    <t>D/E proyecto</t>
  </si>
  <si>
    <t>D/D + E</t>
  </si>
  <si>
    <t xml:space="preserve">E/D +E </t>
  </si>
  <si>
    <t>FCFin</t>
  </si>
  <si>
    <t>VPN FCA@15.62%</t>
  </si>
  <si>
    <t>VPN FCL@9.18%</t>
  </si>
  <si>
    <t xml:space="preserve">   VPN FCL@10.26%</t>
  </si>
  <si>
    <t xml:space="preserve">   VPN FCFin@8%</t>
  </si>
  <si>
    <t>año</t>
  </si>
  <si>
    <t>año 1-5</t>
  </si>
  <si>
    <t>(año 5)</t>
  </si>
  <si>
    <t>año 1-10</t>
  </si>
  <si>
    <t>rendimiento mdo.</t>
  </si>
  <si>
    <t>FCL actualizado</t>
  </si>
  <si>
    <t>d)</t>
  </si>
  <si>
    <t>banco</t>
  </si>
  <si>
    <t>tasas de descuento</t>
  </si>
  <si>
    <t>Deuda (valor de mercado)</t>
  </si>
  <si>
    <t>1928-2019</t>
  </si>
  <si>
    <t>Inversión</t>
  </si>
  <si>
    <t xml:space="preserve">   costo oportunidad terreno</t>
  </si>
  <si>
    <t xml:space="preserve">   instalaciones</t>
  </si>
  <si>
    <t>número</t>
  </si>
  <si>
    <t>valor ($)</t>
  </si>
  <si>
    <t>monto estructura</t>
  </si>
  <si>
    <t>%</t>
  </si>
  <si>
    <t>costo</t>
  </si>
  <si>
    <t>factor ajuste riesgo proyecto</t>
  </si>
  <si>
    <t xml:space="preserve">WACC ajustado </t>
  </si>
  <si>
    <t>e)</t>
  </si>
  <si>
    <t xml:space="preserve">inversión activos </t>
  </si>
  <si>
    <t xml:space="preserve">    flujo</t>
  </si>
  <si>
    <t>D/E División C</t>
  </si>
  <si>
    <t>EBITDA (1 - tax)</t>
  </si>
  <si>
    <t>β Trafalgar</t>
  </si>
  <si>
    <t>(+) Dep x tax</t>
  </si>
  <si>
    <t>valor Trafalgar</t>
  </si>
  <si>
    <t>Inversión activos</t>
  </si>
  <si>
    <t>valor terminal</t>
  </si>
  <si>
    <t>monto deuda</t>
  </si>
  <si>
    <t>éxito</t>
  </si>
  <si>
    <t>fracaso</t>
  </si>
  <si>
    <t xml:space="preserve">        farmaceutica</t>
  </si>
  <si>
    <t>tasa de impto.</t>
  </si>
  <si>
    <t>licencias</t>
  </si>
  <si>
    <t xml:space="preserve">    flujo hasta año 5</t>
  </si>
  <si>
    <t>tasa de impuesto</t>
  </si>
  <si>
    <t>bps</t>
  </si>
  <si>
    <t xml:space="preserve">   industria</t>
  </si>
  <si>
    <t>spread deuda</t>
  </si>
  <si>
    <t>VPN@11.99%</t>
  </si>
  <si>
    <t>inversión activo fijo</t>
  </si>
  <si>
    <t>costos variables (% ingresos)</t>
  </si>
  <si>
    <t>gastos de venta (% ingresos)</t>
  </si>
  <si>
    <t>deuda</t>
  </si>
  <si>
    <t>tasa de impuesto USA</t>
  </si>
  <si>
    <t>tasa de impuesto Perú</t>
  </si>
  <si>
    <t>flujo de efectivo libre</t>
  </si>
  <si>
    <t>FC Financiamiento</t>
  </si>
  <si>
    <t>FC Fin</t>
  </si>
  <si>
    <t>VPN FC fin@10%</t>
  </si>
  <si>
    <t>VP EFI@10%</t>
  </si>
  <si>
    <t>amortización capital</t>
  </si>
  <si>
    <t xml:space="preserve">FCA </t>
  </si>
  <si>
    <t>APV</t>
  </si>
  <si>
    <t>VPN FC Fin@6%</t>
  </si>
  <si>
    <t xml:space="preserve">    otra demanda (año 2)</t>
  </si>
  <si>
    <t>valor mercado</t>
  </si>
  <si>
    <t>(1)</t>
  </si>
  <si>
    <t>LP</t>
  </si>
  <si>
    <t>valor mdo.</t>
  </si>
  <si>
    <t>(2)</t>
  </si>
  <si>
    <t>(3)</t>
  </si>
  <si>
    <t>Tax USA</t>
  </si>
  <si>
    <t xml:space="preserve">       industria</t>
  </si>
  <si>
    <t>VPN FCL@8.04%</t>
  </si>
  <si>
    <t>VPN FCL@7.61%</t>
  </si>
  <si>
    <t>VPN FC Fin@8%</t>
  </si>
  <si>
    <t>VPN FCL@21.97%</t>
  </si>
  <si>
    <t xml:space="preserve">VP EFI </t>
  </si>
  <si>
    <t xml:space="preserve">    producción</t>
  </si>
  <si>
    <t>inversión activos</t>
  </si>
  <si>
    <t>Drugs pharmaceutical (Damodaran)</t>
  </si>
  <si>
    <t>Oil/gas (production&amp;exploration) Damodaran</t>
  </si>
  <si>
    <t xml:space="preserve">inversión </t>
  </si>
  <si>
    <t>activo fijo</t>
  </si>
  <si>
    <t>(+) gastos financieros</t>
  </si>
  <si>
    <t xml:space="preserve">   activos</t>
  </si>
  <si>
    <t>(+) ganancia extraordinaria</t>
  </si>
  <si>
    <t>utilidad operativa (incluye ganancia ext.)</t>
  </si>
  <si>
    <t>valor en libros activo</t>
  </si>
  <si>
    <t>VPN FCL@28.72%</t>
  </si>
  <si>
    <t>costos variables (% ventas)</t>
  </si>
  <si>
    <t>costo variable (% ventas)</t>
  </si>
  <si>
    <t>inversión activos fijos (alternativa 1)</t>
  </si>
  <si>
    <t>inversión activos fijos (alternativa 2)</t>
  </si>
  <si>
    <t>capital de trabajo (% ventas)</t>
  </si>
  <si>
    <t>valor de liquidación (alternativa 1)</t>
  </si>
  <si>
    <t>valor de liquidación (alternativa 2)</t>
  </si>
  <si>
    <t>alternativa 1 (comprar en año 0)</t>
  </si>
  <si>
    <t>valor liquidación activo fijo</t>
  </si>
  <si>
    <t>(+) costos variables por erosión</t>
  </si>
  <si>
    <t>(-) pérdida de ingresos por erosión</t>
  </si>
  <si>
    <t>alternativa 2 (comprar en año 2)</t>
  </si>
  <si>
    <t>Smythe</t>
  </si>
  <si>
    <t>valor libros activo</t>
  </si>
  <si>
    <t>inversión x recuperar</t>
  </si>
  <si>
    <t>valor liquidación (año 5)</t>
  </si>
  <si>
    <t>perpetuo</t>
  </si>
  <si>
    <t xml:space="preserve">   VPN EFI@8%</t>
  </si>
  <si>
    <t>VPN FCL@11%</t>
  </si>
  <si>
    <t>β proyecto</t>
  </si>
  <si>
    <t>datos WACC</t>
  </si>
  <si>
    <t>ganancia extraordinaria</t>
  </si>
  <si>
    <t>% Equity</t>
  </si>
  <si>
    <t>VP FCL1@10.50%</t>
  </si>
  <si>
    <t>inversion (año 0)</t>
  </si>
  <si>
    <t>inversion (año 2021-2025)</t>
  </si>
  <si>
    <t>VPNE año 0 =</t>
  </si>
  <si>
    <t>VPNE año 3 =</t>
  </si>
  <si>
    <t>VPN FCL@15.14%</t>
  </si>
  <si>
    <t>VPN FCL@13.11%</t>
  </si>
  <si>
    <t>ganancias ext.</t>
  </si>
  <si>
    <t>VPN FCA@10.25%</t>
  </si>
  <si>
    <t>valor de liquidación (año 10)</t>
  </si>
  <si>
    <t>Empresa</t>
  </si>
  <si>
    <t>total</t>
  </si>
  <si>
    <t>acciones</t>
  </si>
  <si>
    <t>preferentes</t>
  </si>
  <si>
    <t>($ millones)</t>
  </si>
  <si>
    <t>comunes</t>
  </si>
  <si>
    <t>millones</t>
  </si>
  <si>
    <t>al cierre</t>
  </si>
  <si>
    <t>Empresa A</t>
  </si>
  <si>
    <t>Empresa B</t>
  </si>
  <si>
    <t>Empresa C</t>
  </si>
  <si>
    <t>Empresa D</t>
  </si>
  <si>
    <t>Empresa E</t>
  </si>
  <si>
    <t>Empresa F</t>
  </si>
  <si>
    <t>Empresa G</t>
  </si>
  <si>
    <t>Empresa H</t>
  </si>
  <si>
    <t>---</t>
  </si>
  <si>
    <t>rproy</t>
  </si>
  <si>
    <t>VPN FCL@11.94%</t>
  </si>
  <si>
    <t>alternativa 1:</t>
  </si>
  <si>
    <t>alternativa 2:</t>
  </si>
  <si>
    <t xml:space="preserve"> $34.57 millones</t>
  </si>
  <si>
    <t>puntos básicos</t>
  </si>
  <si>
    <t>VPN FCL@30%</t>
  </si>
  <si>
    <t xml:space="preserve">(-) costo de ventas </t>
  </si>
  <si>
    <t>(-) depreciación</t>
  </si>
  <si>
    <t>gastos operativos</t>
  </si>
  <si>
    <t>(-) gastos financieros</t>
  </si>
  <si>
    <t>utilidad imponible</t>
  </si>
  <si>
    <t xml:space="preserve">   capital de trabajo </t>
  </si>
  <si>
    <t>10% ventas incrementales</t>
  </si>
  <si>
    <t>estructura inversión</t>
  </si>
  <si>
    <t>Equity</t>
  </si>
  <si>
    <t>préstamo</t>
  </si>
  <si>
    <t>i =12% anual</t>
  </si>
  <si>
    <t>cuatro cuotas</t>
  </si>
  <si>
    <t xml:space="preserve">iguales </t>
  </si>
  <si>
    <t>tasa de interés</t>
  </si>
  <si>
    <t>recupero capital de trab.</t>
  </si>
  <si>
    <t xml:space="preserve">       </t>
  </si>
  <si>
    <t>VPN FCA@26.51%</t>
  </si>
  <si>
    <t>VPN FCL@13.30%</t>
  </si>
  <si>
    <t xml:space="preserve">   VPN FCL@13.71%</t>
  </si>
  <si>
    <t>VPN FC Fin@12%</t>
  </si>
  <si>
    <t>VP EFI@12%</t>
  </si>
  <si>
    <t xml:space="preserve">tasa de impuesto </t>
  </si>
  <si>
    <t xml:space="preserve">     promedio </t>
  </si>
  <si>
    <t>depreciación anual</t>
  </si>
  <si>
    <t>valor en libros terreno</t>
  </si>
  <si>
    <t>depreciacion anual</t>
  </si>
  <si>
    <t>VPN FCL 1@15.80%</t>
  </si>
  <si>
    <t>riesgo país (bps)</t>
  </si>
  <si>
    <t>VPN FCL@15.63%</t>
  </si>
  <si>
    <t>valor en libros inmueble (año 0)</t>
  </si>
  <si>
    <t>valor mercado (año 0)</t>
  </si>
  <si>
    <t>costos directos (año 1)</t>
  </si>
  <si>
    <t>otra demanda unidades (año 1)</t>
  </si>
  <si>
    <t>VPN FCL@15.06%</t>
  </si>
  <si>
    <t>NOPAT (sin ganancia ext.)</t>
  </si>
  <si>
    <t>Σ</t>
  </si>
  <si>
    <t>-25,000              +</t>
  </si>
  <si>
    <t>(50q - 9,500) x (1 - 35%) + 2,500</t>
  </si>
  <si>
    <t>factor</t>
  </si>
  <si>
    <t>(100q - 50q) x (1-35%)</t>
  </si>
  <si>
    <t>(-9,500 x (1-35%)) + 2,500</t>
  </si>
  <si>
    <t>N° relojes</t>
  </si>
  <si>
    <t>VPN FCL@15.32%</t>
  </si>
  <si>
    <t>rμ</t>
  </si>
  <si>
    <t>inversión (año 0)</t>
  </si>
  <si>
    <t>inversión (año 3)</t>
  </si>
  <si>
    <t>valor liquidación (% inversión inicial)</t>
  </si>
  <si>
    <t>capital de trabajo (% vtas. Incrementales)</t>
  </si>
  <si>
    <t xml:space="preserve">    costos directos/otros ctos (año 2 - 10)</t>
  </si>
  <si>
    <t xml:space="preserve">    ahorros (año 2 - 10)</t>
  </si>
  <si>
    <t>riesgo país Argentina</t>
  </si>
  <si>
    <t>SOLUCIÓN ALGEBRAICA</t>
  </si>
  <si>
    <t>tasas de descuento Banco del Ocio:</t>
  </si>
  <si>
    <t>el proyecto debe ejecutarse</t>
  </si>
  <si>
    <t>VPN EFI@8%</t>
  </si>
  <si>
    <t>Paúl Lira Briceño</t>
  </si>
  <si>
    <t>Evaluación de proyectos de inversión</t>
  </si>
  <si>
    <t>Guía teórica y práctica</t>
  </si>
  <si>
    <t>EJERCICIOS Y MINICASOS RESUELTOS - CAPÍTULO III</t>
  </si>
  <si>
    <t>1. El proyecto de Restaurantes El Piloto</t>
  </si>
  <si>
    <t>2. El nuevo proyecto de un grupo de inversionistas</t>
  </si>
  <si>
    <t>3. La cobertura para asientos de vehículos</t>
  </si>
  <si>
    <t>4. El proyecto de fabricación de relojes</t>
  </si>
  <si>
    <t>El proyecto de Restaurantes El Piloto</t>
  </si>
  <si>
    <r>
      <t>r</t>
    </r>
    <r>
      <rPr>
        <vertAlign val="subscript"/>
        <sz val="11"/>
        <color theme="1"/>
        <rFont val="Cambria"/>
        <family val="1"/>
      </rPr>
      <t>f</t>
    </r>
  </si>
  <si>
    <r>
      <t>r</t>
    </r>
    <r>
      <rPr>
        <vertAlign val="subscript"/>
        <sz val="11"/>
        <color theme="1"/>
        <rFont val="Cambria"/>
        <family val="1"/>
      </rPr>
      <t>m</t>
    </r>
    <r>
      <rPr>
        <sz val="11"/>
        <color theme="1"/>
        <rFont val="Cambria"/>
        <family val="1"/>
      </rPr>
      <t xml:space="preserve"> - r</t>
    </r>
    <r>
      <rPr>
        <vertAlign val="subscript"/>
        <sz val="11"/>
        <color theme="1"/>
        <rFont val="Cambria"/>
        <family val="1"/>
      </rPr>
      <t>f</t>
    </r>
  </si>
  <si>
    <r>
      <t xml:space="preserve">β </t>
    </r>
    <r>
      <rPr>
        <vertAlign val="subscript"/>
        <sz val="11"/>
        <color theme="1"/>
        <rFont val="Cambria"/>
        <family val="1"/>
      </rPr>
      <t>proyecto</t>
    </r>
  </si>
  <si>
    <r>
      <t>r</t>
    </r>
    <r>
      <rPr>
        <vertAlign val="subscript"/>
        <sz val="11"/>
        <color theme="0"/>
        <rFont val="Cambria"/>
        <family val="1"/>
      </rPr>
      <t>proy</t>
    </r>
  </si>
  <si>
    <r>
      <t>WACC</t>
    </r>
    <r>
      <rPr>
        <vertAlign val="subscript"/>
        <sz val="11"/>
        <color theme="0"/>
        <rFont val="Cambria"/>
        <family val="1"/>
      </rPr>
      <t>proy</t>
    </r>
  </si>
  <si>
    <t>El nuevo proyecto de un grupo de inversionistas</t>
  </si>
  <si>
    <r>
      <t>r</t>
    </r>
    <r>
      <rPr>
        <vertAlign val="subscript"/>
        <sz val="11"/>
        <color theme="1"/>
        <rFont val="Cambria"/>
        <family val="1"/>
      </rPr>
      <t>proy</t>
    </r>
  </si>
  <si>
    <r>
      <t>WACC</t>
    </r>
    <r>
      <rPr>
        <vertAlign val="subscript"/>
        <sz val="11"/>
        <color theme="1"/>
        <rFont val="Cambria"/>
        <family val="1"/>
      </rPr>
      <t>proy</t>
    </r>
  </si>
  <si>
    <t>La cobertura para asientos de vehículos</t>
  </si>
  <si>
    <r>
      <t xml:space="preserve">σ </t>
    </r>
    <r>
      <rPr>
        <vertAlign val="subscript"/>
        <sz val="11"/>
        <color theme="1"/>
        <rFont val="Cambria"/>
        <family val="1"/>
      </rPr>
      <t>acción</t>
    </r>
  </si>
  <si>
    <r>
      <t xml:space="preserve">σ </t>
    </r>
    <r>
      <rPr>
        <vertAlign val="subscript"/>
        <sz val="11"/>
        <color theme="1"/>
        <rFont val="Cambria"/>
        <family val="1"/>
      </rPr>
      <t>mdo</t>
    </r>
  </si>
  <si>
    <r>
      <t>( 1 + 11%)^</t>
    </r>
    <r>
      <rPr>
        <vertAlign val="superscript"/>
        <sz val="11"/>
        <color theme="1"/>
        <rFont val="Cambria"/>
        <family val="1"/>
      </rPr>
      <t>i</t>
    </r>
  </si>
  <si>
    <t>El proyecto de fabricación de relojes</t>
  </si>
  <si>
    <t>La evaluación inconclusa de un nuevo proyecto industrial</t>
  </si>
  <si>
    <r>
      <t xml:space="preserve">β </t>
    </r>
    <r>
      <rPr>
        <vertAlign val="subscript"/>
        <sz val="11"/>
        <color theme="1"/>
        <rFont val="Cambria"/>
        <family val="1"/>
      </rPr>
      <t>empresa comparable</t>
    </r>
  </si>
  <si>
    <r>
      <t xml:space="preserve">D/E </t>
    </r>
    <r>
      <rPr>
        <vertAlign val="subscript"/>
        <sz val="11"/>
        <color theme="1"/>
        <rFont val="Cambria"/>
        <family val="1"/>
      </rPr>
      <t>proyecto</t>
    </r>
  </si>
  <si>
    <t>El proyecto de concesión de una autopista</t>
  </si>
  <si>
    <r>
      <t>σ</t>
    </r>
    <r>
      <rPr>
        <vertAlign val="superscript"/>
        <sz val="11"/>
        <color theme="1"/>
        <rFont val="Cambria"/>
        <family val="1"/>
      </rPr>
      <t xml:space="preserve"> </t>
    </r>
    <r>
      <rPr>
        <vertAlign val="subscript"/>
        <sz val="11"/>
        <color theme="1"/>
        <rFont val="Cambria"/>
        <family val="1"/>
      </rPr>
      <t>empresa</t>
    </r>
  </si>
  <si>
    <r>
      <t>σ</t>
    </r>
    <r>
      <rPr>
        <vertAlign val="superscript"/>
        <sz val="11"/>
        <color theme="1"/>
        <rFont val="Cambria"/>
        <family val="1"/>
      </rPr>
      <t xml:space="preserve"> </t>
    </r>
    <r>
      <rPr>
        <vertAlign val="subscript"/>
        <sz val="11"/>
        <color theme="1"/>
        <rFont val="Cambria"/>
        <family val="1"/>
      </rPr>
      <t>mercado</t>
    </r>
  </si>
  <si>
    <t>El proyecto de hidrocarburos en Argentina</t>
  </si>
  <si>
    <r>
      <rPr>
        <sz val="11"/>
        <color theme="0"/>
        <rFont val="Cambria"/>
        <family val="1"/>
      </rPr>
      <t xml:space="preserve">β </t>
    </r>
    <r>
      <rPr>
        <vertAlign val="subscript"/>
        <sz val="11"/>
        <color theme="0"/>
        <rFont val="Cambria"/>
        <family val="1"/>
      </rPr>
      <t>proyecto</t>
    </r>
  </si>
  <si>
    <r>
      <t xml:space="preserve">β </t>
    </r>
    <r>
      <rPr>
        <vertAlign val="subscript"/>
        <sz val="11"/>
        <color theme="0"/>
        <rFont val="Cambria"/>
        <family val="1"/>
      </rPr>
      <t>proyecto</t>
    </r>
  </si>
  <si>
    <t>El nuevo sistema de procesamientos de datos de Nisac</t>
  </si>
  <si>
    <t>El nuevo proyecto del Banco del Ocio</t>
  </si>
  <si>
    <t>La tasa de descuento de un nuevo proyecto</t>
  </si>
  <si>
    <r>
      <rPr>
        <i/>
        <sz val="11"/>
        <color theme="1"/>
        <rFont val="Cambria"/>
        <family val="1"/>
      </rPr>
      <t>Equity (</t>
    </r>
    <r>
      <rPr>
        <sz val="11"/>
        <color theme="1"/>
        <rFont val="Cambria"/>
        <family val="1"/>
      </rPr>
      <t>valor de mercado)</t>
    </r>
  </si>
  <si>
    <t>La nueva línea de radares de DEI Inc.</t>
  </si>
  <si>
    <t>El valor de mercado de Trafalgar SA</t>
  </si>
  <si>
    <t>βμ Div C</t>
  </si>
  <si>
    <r>
      <t xml:space="preserve">r </t>
    </r>
    <r>
      <rPr>
        <vertAlign val="subscript"/>
        <sz val="11"/>
        <color theme="1"/>
        <rFont val="Cambria"/>
        <family val="1"/>
      </rPr>
      <t>Trafalgar</t>
    </r>
  </si>
  <si>
    <r>
      <t xml:space="preserve">WACC </t>
    </r>
    <r>
      <rPr>
        <vertAlign val="subscript"/>
        <sz val="11"/>
        <color theme="1"/>
        <rFont val="Cambria"/>
        <family val="1"/>
      </rPr>
      <t>Trafalgar</t>
    </r>
  </si>
  <si>
    <r>
      <t>β</t>
    </r>
    <r>
      <rPr>
        <b/>
        <vertAlign val="subscript"/>
        <sz val="11"/>
        <color theme="0"/>
        <rFont val="Cambria"/>
        <family val="1"/>
      </rPr>
      <t>e</t>
    </r>
  </si>
  <si>
    <t>β deuda</t>
  </si>
  <si>
    <r>
      <t xml:space="preserve">r </t>
    </r>
    <r>
      <rPr>
        <vertAlign val="subscript"/>
        <sz val="11"/>
        <rFont val="Cambria"/>
        <family val="1"/>
      </rPr>
      <t>deuda</t>
    </r>
  </si>
  <si>
    <r>
      <t xml:space="preserve">La venta </t>
    </r>
    <r>
      <rPr>
        <b/>
        <i/>
        <sz val="11"/>
        <color theme="0"/>
        <rFont val="Cambria"/>
        <family val="1"/>
      </rPr>
      <t>online</t>
    </r>
    <r>
      <rPr>
        <b/>
        <sz val="11"/>
        <color theme="0"/>
        <rFont val="Cambria"/>
        <family val="1"/>
      </rPr>
      <t xml:space="preserve"> de CD y DVD de 4U Music Store</t>
    </r>
  </si>
  <si>
    <t>El proyecto de investigación y desarrollo de una nueva medicina</t>
  </si>
  <si>
    <r>
      <t>(1+10.08%)^</t>
    </r>
    <r>
      <rPr>
        <vertAlign val="superscript"/>
        <sz val="11"/>
        <color theme="1"/>
        <rFont val="Cambria"/>
        <family val="1"/>
      </rPr>
      <t>3</t>
    </r>
  </si>
  <si>
    <t>El proyecto local de una empresa americana</t>
  </si>
  <si>
    <r>
      <rPr>
        <b/>
        <sz val="11"/>
        <rFont val="Cambria"/>
        <family val="1"/>
      </rPr>
      <t>Solución 1</t>
    </r>
    <r>
      <rPr>
        <sz val="11"/>
        <rFont val="Cambria"/>
        <family val="1"/>
      </rPr>
      <t>: usar el YTM del UST10Y (nota del tesoro a 10 años)</t>
    </r>
  </si>
  <si>
    <r>
      <rPr>
        <b/>
        <sz val="11"/>
        <rFont val="Cambria"/>
        <family val="1"/>
      </rPr>
      <t>Solución 2</t>
    </r>
    <r>
      <rPr>
        <sz val="11"/>
        <rFont val="Cambria"/>
        <family val="1"/>
      </rPr>
      <t>: usar el YTm del UST30Y (el bono largo a 30 años)</t>
    </r>
  </si>
  <si>
    <t>El proyecto industrial de una mype</t>
  </si>
  <si>
    <r>
      <t>β</t>
    </r>
    <r>
      <rPr>
        <vertAlign val="subscript"/>
        <sz val="11"/>
        <color theme="1"/>
        <rFont val="Cambria"/>
        <family val="1"/>
      </rPr>
      <t>e</t>
    </r>
    <r>
      <rPr>
        <sz val="11"/>
        <color theme="1"/>
        <rFont val="Cambria"/>
        <family val="1"/>
      </rPr>
      <t xml:space="preserve"> industria</t>
    </r>
  </si>
  <si>
    <t>El plan piloto de Olive Garden en el Perú</t>
  </si>
  <si>
    <r>
      <t xml:space="preserve">D/E </t>
    </r>
    <r>
      <rPr>
        <vertAlign val="subscript"/>
        <sz val="11"/>
        <rFont val="Cambria"/>
        <family val="1"/>
      </rPr>
      <t>empresa</t>
    </r>
  </si>
  <si>
    <r>
      <t>D/E</t>
    </r>
    <r>
      <rPr>
        <vertAlign val="subscript"/>
        <sz val="11"/>
        <rFont val="Cambria"/>
        <family val="1"/>
      </rPr>
      <t xml:space="preserve"> proyecto</t>
    </r>
  </si>
  <si>
    <r>
      <t>La producción y ventas de teclado</t>
    </r>
    <r>
      <rPr>
        <b/>
        <i/>
        <sz val="11"/>
        <color theme="0"/>
        <rFont val="Cambria"/>
        <family val="1"/>
      </rPr>
      <t xml:space="preserve"> bluetooth </t>
    </r>
    <r>
      <rPr>
        <b/>
        <sz val="11"/>
        <color theme="0"/>
        <rFont val="Cambria"/>
        <family val="1"/>
      </rPr>
      <t>de MKP</t>
    </r>
  </si>
  <si>
    <r>
      <t xml:space="preserve">D/E </t>
    </r>
    <r>
      <rPr>
        <vertAlign val="subscript"/>
        <sz val="11"/>
        <color theme="1"/>
        <rFont val="Cambria"/>
        <family val="1"/>
      </rPr>
      <t>empresa</t>
    </r>
  </si>
  <si>
    <r>
      <t xml:space="preserve">D/E </t>
    </r>
    <r>
      <rPr>
        <vertAlign val="subscript"/>
        <sz val="11"/>
        <color theme="1"/>
        <rFont val="Cambria"/>
        <family val="1"/>
      </rPr>
      <t>empresa comparable</t>
    </r>
  </si>
  <si>
    <r>
      <t>σ</t>
    </r>
    <r>
      <rPr>
        <vertAlign val="superscript"/>
        <sz val="11"/>
        <color theme="1"/>
        <rFont val="Cambria"/>
        <family val="1"/>
      </rPr>
      <t xml:space="preserve">2 </t>
    </r>
    <r>
      <rPr>
        <vertAlign val="subscript"/>
        <sz val="11"/>
        <color theme="1"/>
        <rFont val="Cambria"/>
        <family val="1"/>
      </rPr>
      <t>empresa comparable</t>
    </r>
  </si>
  <si>
    <r>
      <t>σ</t>
    </r>
    <r>
      <rPr>
        <vertAlign val="superscript"/>
        <sz val="11"/>
        <color theme="1"/>
        <rFont val="Cambria"/>
        <family val="1"/>
      </rPr>
      <t xml:space="preserve">2 </t>
    </r>
    <r>
      <rPr>
        <vertAlign val="subscript"/>
        <sz val="11"/>
        <color theme="1"/>
        <rFont val="Cambria"/>
        <family val="1"/>
      </rPr>
      <t>mercado</t>
    </r>
  </si>
  <si>
    <r>
      <t>σ</t>
    </r>
    <r>
      <rPr>
        <vertAlign val="superscript"/>
        <sz val="11"/>
        <color theme="1"/>
        <rFont val="Cambria"/>
        <family val="1"/>
      </rPr>
      <t xml:space="preserve"> </t>
    </r>
    <r>
      <rPr>
        <vertAlign val="subscript"/>
        <sz val="11"/>
        <color theme="1"/>
        <rFont val="Cambria"/>
        <family val="1"/>
      </rPr>
      <t>empresa comparable</t>
    </r>
  </si>
  <si>
    <r>
      <t>β</t>
    </r>
    <r>
      <rPr>
        <vertAlign val="subscript"/>
        <sz val="11"/>
        <color theme="1"/>
        <rFont val="Cambria"/>
        <family val="1"/>
      </rPr>
      <t xml:space="preserve"> empresa comparable</t>
    </r>
  </si>
  <si>
    <t>La tasa de descuento de Aceros</t>
  </si>
  <si>
    <t>La nueva línea de producción de J. Smythe, Inc.</t>
  </si>
  <si>
    <t>5. La evaluación inconclusa de un nuevo proyecto industrial</t>
  </si>
  <si>
    <t>6. El nuevo proyecto del Banco del Ocio</t>
  </si>
  <si>
    <t>7. La tasa de descuento de un nuevo proyecto</t>
  </si>
  <si>
    <t>8. La nueva línea de radares de DEI Inc.</t>
  </si>
  <si>
    <t>9. El valor de mercado de Trafalgar SA</t>
  </si>
  <si>
    <t>10. La venta online de CD y DVD de 4U Music Store</t>
  </si>
  <si>
    <t>11. El proyecto de investigación y desarrollo de una nueva medicina</t>
  </si>
  <si>
    <t>12. El proyecto local de una empresa americana</t>
  </si>
  <si>
    <t>13. El proyecto industrial de una mype</t>
  </si>
  <si>
    <t>14. El plan piloto de Olive Garden en el Perú</t>
  </si>
  <si>
    <t>16. La tasa de descuento de Aceros</t>
  </si>
  <si>
    <t>17. La nueva línea de producción de J. Smythe, Inc.</t>
  </si>
  <si>
    <t>18. El nuevo sistema de procesamientos de datos de Nisac</t>
  </si>
  <si>
    <t>19. El proyecto de hidrocarburos en Argentina</t>
  </si>
  <si>
    <t>20. El proyecto de concesión de una autopista</t>
  </si>
  <si>
    <t>15. La producción y ventas de teclado bluetooth de MKP</t>
  </si>
  <si>
    <t>VP A</t>
  </si>
  <si>
    <t>VP B</t>
  </si>
  <si>
    <t>cronograma de pago</t>
  </si>
  <si>
    <t>WACC = 10.20%</t>
  </si>
  <si>
    <t>Costo capital (*)</t>
  </si>
  <si>
    <t>Costo deuda</t>
  </si>
  <si>
    <t>Pesos</t>
  </si>
  <si>
    <t>despues de impuestos</t>
  </si>
  <si>
    <t>E = 83.20%</t>
  </si>
  <si>
    <t>incluye riesgo país</t>
  </si>
  <si>
    <t>D = 16.80%</t>
  </si>
  <si>
    <t>tasa libre de riesgo</t>
  </si>
  <si>
    <t>Prima por riesgo de mdo.</t>
  </si>
  <si>
    <t>Riesgo país</t>
  </si>
  <si>
    <t>bono tesoro a 10 años</t>
  </si>
  <si>
    <t>β promedio = 0.98</t>
  </si>
  <si>
    <r>
      <t>(R</t>
    </r>
    <r>
      <rPr>
        <vertAlign val="subscript"/>
        <sz val="10"/>
        <color theme="1"/>
        <rFont val="Arial"/>
        <family val="2"/>
      </rPr>
      <t>m</t>
    </r>
    <r>
      <rPr>
        <sz val="10"/>
        <color theme="1"/>
        <rFont val="Arial"/>
        <family val="2"/>
      </rPr>
      <t xml:space="preserve"> - R</t>
    </r>
    <r>
      <rPr>
        <vertAlign val="subscript"/>
        <sz val="10"/>
        <color theme="1"/>
        <rFont val="Arial"/>
        <family val="2"/>
      </rPr>
      <t>f</t>
    </r>
    <r>
      <rPr>
        <sz val="10"/>
        <color theme="1"/>
        <rFont val="Arial"/>
        <family val="2"/>
      </rPr>
      <t>)</t>
    </r>
  </si>
  <si>
    <r>
      <t>EMBI x (σ</t>
    </r>
    <r>
      <rPr>
        <i/>
        <vertAlign val="subscript"/>
        <sz val="10"/>
        <color theme="1"/>
        <rFont val="Arial"/>
        <family val="2"/>
      </rPr>
      <t>equity</t>
    </r>
    <r>
      <rPr>
        <vertAlign val="subscript"/>
        <sz val="10"/>
        <color theme="1"/>
        <rFont val="Arial"/>
        <family val="2"/>
      </rPr>
      <t xml:space="preserve"> país)</t>
    </r>
    <r>
      <rPr>
        <sz val="10"/>
        <color theme="1"/>
        <rFont val="Arial"/>
        <family val="2"/>
      </rPr>
      <t>/ σ</t>
    </r>
    <r>
      <rPr>
        <vertAlign val="subscript"/>
        <sz val="10"/>
        <color theme="1"/>
        <rFont val="Arial"/>
        <family val="2"/>
      </rPr>
      <t>bono soberano</t>
    </r>
    <r>
      <rPr>
        <sz val="10"/>
        <color theme="1"/>
        <rFont val="Arial"/>
        <family val="2"/>
      </rPr>
      <t>)</t>
    </r>
  </si>
  <si>
    <t>(σequity país)/ σbono soberano)</t>
  </si>
  <si>
    <t>EMBI</t>
  </si>
  <si>
    <t>(*) hallado a través del CAPM</t>
  </si>
  <si>
    <r>
      <t xml:space="preserve">r </t>
    </r>
    <r>
      <rPr>
        <b/>
        <vertAlign val="subscript"/>
        <sz val="11"/>
        <color theme="1"/>
        <rFont val="Cambria"/>
        <family val="1"/>
      </rPr>
      <t>aceros</t>
    </r>
  </si>
  <si>
    <r>
      <t xml:space="preserve">WACC </t>
    </r>
    <r>
      <rPr>
        <b/>
        <vertAlign val="subscript"/>
        <sz val="11"/>
        <color theme="1"/>
        <rFont val="Cambria"/>
        <family val="1"/>
      </rPr>
      <t>aceros</t>
    </r>
  </si>
  <si>
    <t>Se elige la alternativa 2</t>
  </si>
  <si>
    <t>sin efecto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</si>
</sst>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%"/>
    <numFmt numFmtId="165" formatCode="0.000%"/>
    <numFmt numFmtId="166" formatCode="#,##0.000"/>
    <numFmt numFmtId="167" formatCode="#,##0.0000"/>
    <numFmt numFmtId="168" formatCode="#,##0.00000000"/>
    <numFmt numFmtId="169" formatCode="#,##0.0"/>
    <numFmt numFmtId="170" formatCode="#,##0.000000"/>
  </numFmts>
  <fonts count="3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/>
      <name val="Cambria"/>
      <family val="1"/>
    </font>
    <font>
      <sz val="10"/>
      <color theme="0"/>
      <name val="Calibri"/>
      <family val="2"/>
      <scheme val="minor"/>
    </font>
    <font>
      <b/>
      <sz val="18"/>
      <color theme="0"/>
      <name val="Cambria"/>
      <family val="1"/>
    </font>
    <font>
      <b/>
      <i/>
      <sz val="10"/>
      <color theme="0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0"/>
      <color theme="1"/>
      <name val="Calibri"/>
      <family val="2"/>
      <scheme val="minor"/>
    </font>
    <font>
      <b/>
      <sz val="11"/>
      <color theme="0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vertAlign val="subscript"/>
      <sz val="11"/>
      <color theme="1"/>
      <name val="Cambria"/>
      <family val="1"/>
    </font>
    <font>
      <sz val="11"/>
      <color theme="0"/>
      <name val="Cambria"/>
      <family val="1"/>
    </font>
    <font>
      <vertAlign val="subscript"/>
      <sz val="11"/>
      <color theme="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vertAlign val="superscript"/>
      <sz val="11"/>
      <color theme="1"/>
      <name val="Cambria"/>
      <family val="1"/>
    </font>
    <font>
      <i/>
      <sz val="11"/>
      <color theme="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vertAlign val="subscript"/>
      <sz val="11"/>
      <color theme="0"/>
      <name val="Cambria"/>
      <family val="1"/>
    </font>
    <font>
      <vertAlign val="subscript"/>
      <sz val="11"/>
      <name val="Cambria"/>
      <family val="1"/>
    </font>
    <font>
      <b/>
      <i/>
      <sz val="11"/>
      <color theme="0"/>
      <name val="Cambria"/>
      <family val="1"/>
    </font>
    <font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i/>
      <vertAlign val="subscript"/>
      <sz val="10"/>
      <color theme="1"/>
      <name val="Arial"/>
      <family val="2"/>
    </font>
    <font>
      <b/>
      <vertAlign val="subscript"/>
      <sz val="11"/>
      <color theme="1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93"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4" borderId="0" xfId="0" applyFont="1" applyFill="1" applyBorder="1"/>
    <xf numFmtId="0" fontId="9" fillId="3" borderId="0" xfId="0" applyFont="1" applyFill="1" applyBorder="1" applyAlignment="1">
      <alignment vertical="center"/>
    </xf>
    <xf numFmtId="0" fontId="0" fillId="2" borderId="0" xfId="0" applyFill="1"/>
    <xf numFmtId="0" fontId="10" fillId="3" borderId="0" xfId="0" applyFont="1" applyFill="1" applyBorder="1"/>
    <xf numFmtId="4" fontId="12" fillId="2" borderId="0" xfId="0" applyNumberFormat="1" applyFont="1" applyFill="1" applyAlignment="1">
      <alignment horizontal="center"/>
    </xf>
    <xf numFmtId="4" fontId="12" fillId="2" borderId="14" xfId="0" applyNumberFormat="1" applyFont="1" applyFill="1" applyBorder="1" applyAlignment="1">
      <alignment horizontal="left"/>
    </xf>
    <xf numFmtId="4" fontId="12" fillId="2" borderId="0" xfId="0" applyNumberFormat="1" applyFont="1" applyFill="1" applyBorder="1" applyAlignment="1">
      <alignment horizontal="center"/>
    </xf>
    <xf numFmtId="4" fontId="13" fillId="2" borderId="22" xfId="0" applyNumberFormat="1" applyFont="1" applyFill="1" applyBorder="1" applyAlignment="1">
      <alignment horizontal="center"/>
    </xf>
    <xf numFmtId="4" fontId="12" fillId="2" borderId="22" xfId="0" applyNumberFormat="1" applyFont="1" applyFill="1" applyBorder="1" applyAlignment="1">
      <alignment horizontal="left"/>
    </xf>
    <xf numFmtId="4" fontId="12" fillId="2" borderId="22" xfId="0" applyNumberFormat="1" applyFont="1" applyFill="1" applyBorder="1" applyAlignment="1">
      <alignment horizontal="center"/>
    </xf>
    <xf numFmtId="9" fontId="12" fillId="2" borderId="0" xfId="2" applyFont="1" applyFill="1" applyBorder="1" applyAlignment="1">
      <alignment horizontal="center"/>
    </xf>
    <xf numFmtId="4" fontId="12" fillId="2" borderId="15" xfId="0" applyNumberFormat="1" applyFont="1" applyFill="1" applyBorder="1" applyAlignment="1">
      <alignment horizontal="left"/>
    </xf>
    <xf numFmtId="9" fontId="12" fillId="2" borderId="1" xfId="2" applyFont="1" applyFill="1" applyBorder="1" applyAlignment="1">
      <alignment horizontal="center"/>
    </xf>
    <xf numFmtId="4" fontId="12" fillId="2" borderId="19" xfId="0" applyNumberFormat="1" applyFont="1" applyFill="1" applyBorder="1" applyAlignment="1">
      <alignment horizontal="center"/>
    </xf>
    <xf numFmtId="4" fontId="11" fillId="5" borderId="20" xfId="0" applyNumberFormat="1" applyFont="1" applyFill="1" applyBorder="1" applyAlignment="1">
      <alignment horizontal="center"/>
    </xf>
    <xf numFmtId="4" fontId="11" fillId="5" borderId="11" xfId="0" applyNumberFormat="1" applyFont="1" applyFill="1" applyBorder="1" applyAlignment="1">
      <alignment horizontal="center"/>
    </xf>
    <xf numFmtId="4" fontId="11" fillId="5" borderId="21" xfId="0" applyNumberFormat="1" applyFont="1" applyFill="1" applyBorder="1" applyAlignment="1">
      <alignment horizontal="center"/>
    </xf>
    <xf numFmtId="4" fontId="12" fillId="2" borderId="14" xfId="0" applyNumberFormat="1" applyFont="1" applyFill="1" applyBorder="1" applyAlignment="1">
      <alignment horizontal="center"/>
    </xf>
    <xf numFmtId="9" fontId="12" fillId="2" borderId="14" xfId="2" applyFont="1" applyFill="1" applyBorder="1" applyAlignment="1">
      <alignment horizontal="center"/>
    </xf>
    <xf numFmtId="9" fontId="12" fillId="2" borderId="22" xfId="2" applyFont="1" applyFill="1" applyBorder="1" applyAlignment="1">
      <alignment horizontal="center"/>
    </xf>
    <xf numFmtId="4" fontId="12" fillId="2" borderId="18" xfId="0" applyNumberFormat="1" applyFont="1" applyFill="1" applyBorder="1" applyAlignment="1">
      <alignment horizontal="center"/>
    </xf>
    <xf numFmtId="4" fontId="12" fillId="6" borderId="20" xfId="0" applyNumberFormat="1" applyFont="1" applyFill="1" applyBorder="1" applyAlignment="1">
      <alignment horizontal="center"/>
    </xf>
    <xf numFmtId="4" fontId="12" fillId="6" borderId="11" xfId="0" applyNumberFormat="1" applyFont="1" applyFill="1" applyBorder="1" applyAlignment="1">
      <alignment horizontal="center"/>
    </xf>
    <xf numFmtId="4" fontId="12" fillId="6" borderId="21" xfId="0" applyNumberFormat="1" applyFont="1" applyFill="1" applyBorder="1" applyAlignment="1">
      <alignment horizontal="center"/>
    </xf>
    <xf numFmtId="4" fontId="12" fillId="2" borderId="15" xfId="0" applyNumberFormat="1" applyFont="1" applyFill="1" applyBorder="1" applyAlignment="1">
      <alignment horizontal="center"/>
    </xf>
    <xf numFmtId="9" fontId="12" fillId="2" borderId="19" xfId="2" applyFont="1" applyFill="1" applyBorder="1" applyAlignment="1">
      <alignment horizontal="center"/>
    </xf>
    <xf numFmtId="4" fontId="12" fillId="2" borderId="0" xfId="0" applyNumberFormat="1" applyFont="1" applyFill="1" applyAlignment="1">
      <alignment horizontal="right"/>
    </xf>
    <xf numFmtId="4" fontId="15" fillId="5" borderId="20" xfId="0" applyNumberFormat="1" applyFont="1" applyFill="1" applyBorder="1" applyAlignment="1">
      <alignment horizontal="center"/>
    </xf>
    <xf numFmtId="10" fontId="12" fillId="2" borderId="21" xfId="2" applyNumberFormat="1" applyFont="1" applyFill="1" applyBorder="1" applyAlignment="1">
      <alignment horizontal="center"/>
    </xf>
    <xf numFmtId="10" fontId="12" fillId="2" borderId="0" xfId="2" applyNumberFormat="1" applyFont="1" applyFill="1" applyAlignment="1">
      <alignment horizontal="center"/>
    </xf>
    <xf numFmtId="4" fontId="15" fillId="5" borderId="12" xfId="0" applyNumberFormat="1" applyFont="1" applyFill="1" applyBorder="1" applyAlignment="1">
      <alignment horizontal="center"/>
    </xf>
    <xf numFmtId="4" fontId="13" fillId="2" borderId="0" xfId="0" applyNumberFormat="1" applyFont="1" applyFill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10" fontId="13" fillId="2" borderId="21" xfId="2" applyNumberFormat="1" applyFont="1" applyFill="1" applyBorder="1" applyAlignment="1">
      <alignment horizontal="center"/>
    </xf>
    <xf numFmtId="4" fontId="13" fillId="2" borderId="21" xfId="0" applyNumberFormat="1" applyFont="1" applyFill="1" applyBorder="1" applyAlignment="1">
      <alignment horizontal="center"/>
    </xf>
    <xf numFmtId="4" fontId="12" fillId="4" borderId="23" xfId="0" applyNumberFormat="1" applyFont="1" applyFill="1" applyBorder="1" applyAlignment="1">
      <alignment horizontal="center"/>
    </xf>
    <xf numFmtId="4" fontId="12" fillId="4" borderId="13" xfId="0" applyNumberFormat="1" applyFont="1" applyFill="1" applyBorder="1" applyAlignment="1">
      <alignment horizontal="center"/>
    </xf>
    <xf numFmtId="4" fontId="12" fillId="4" borderId="11" xfId="0" applyNumberFormat="1" applyFont="1" applyFill="1" applyBorder="1" applyAlignment="1">
      <alignment horizontal="center"/>
    </xf>
    <xf numFmtId="4" fontId="12" fillId="4" borderId="24" xfId="0" applyNumberFormat="1" applyFont="1" applyFill="1" applyBorder="1" applyAlignment="1">
      <alignment horizontal="center"/>
    </xf>
    <xf numFmtId="4" fontId="12" fillId="4" borderId="15" xfId="0" applyNumberFormat="1" applyFont="1" applyFill="1" applyBorder="1" applyAlignment="1">
      <alignment horizontal="center"/>
    </xf>
    <xf numFmtId="4" fontId="12" fillId="4" borderId="1" xfId="0" applyNumberFormat="1" applyFont="1" applyFill="1" applyBorder="1" applyAlignment="1">
      <alignment horizontal="center"/>
    </xf>
    <xf numFmtId="4" fontId="12" fillId="4" borderId="19" xfId="0" applyNumberFormat="1" applyFont="1" applyFill="1" applyBorder="1" applyAlignment="1">
      <alignment horizontal="center"/>
    </xf>
    <xf numFmtId="10" fontId="12" fillId="4" borderId="1" xfId="2" applyNumberFormat="1" applyFont="1" applyFill="1" applyBorder="1" applyAlignment="1">
      <alignment horizontal="center"/>
    </xf>
    <xf numFmtId="4" fontId="11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horizontal="center"/>
    </xf>
    <xf numFmtId="4" fontId="17" fillId="2" borderId="0" xfId="0" applyNumberFormat="1" applyFont="1" applyFill="1" applyAlignment="1">
      <alignment horizontal="left"/>
    </xf>
    <xf numFmtId="4" fontId="17" fillId="2" borderId="0" xfId="0" applyNumberFormat="1" applyFont="1" applyFill="1" applyBorder="1" applyAlignment="1"/>
    <xf numFmtId="4" fontId="17" fillId="2" borderId="0" xfId="2" applyNumberFormat="1" applyFont="1" applyFill="1" applyBorder="1" applyAlignment="1">
      <alignment horizontal="center"/>
    </xf>
    <xf numFmtId="9" fontId="17" fillId="2" borderId="0" xfId="2" applyFont="1" applyFill="1" applyBorder="1" applyAlignment="1"/>
    <xf numFmtId="10" fontId="17" fillId="2" borderId="0" xfId="2" applyNumberFormat="1" applyFont="1" applyFill="1" applyBorder="1" applyAlignment="1"/>
    <xf numFmtId="4" fontId="17" fillId="2" borderId="0" xfId="0" applyNumberFormat="1" applyFont="1" applyFill="1" applyAlignment="1">
      <alignment horizontal="right"/>
    </xf>
    <xf numFmtId="4" fontId="12" fillId="2" borderId="0" xfId="0" applyNumberFormat="1" applyFont="1" applyFill="1" applyAlignment="1">
      <alignment horizontal="left"/>
    </xf>
    <xf numFmtId="4" fontId="17" fillId="2" borderId="14" xfId="0" applyNumberFormat="1" applyFont="1" applyFill="1" applyBorder="1" applyAlignment="1">
      <alignment horizontal="left"/>
    </xf>
    <xf numFmtId="4" fontId="17" fillId="2" borderId="22" xfId="0" applyNumberFormat="1" applyFont="1" applyFill="1" applyBorder="1" applyAlignment="1"/>
    <xf numFmtId="9" fontId="17" fillId="2" borderId="22" xfId="2" applyFont="1" applyFill="1" applyBorder="1" applyAlignment="1"/>
    <xf numFmtId="4" fontId="17" fillId="2" borderId="15" xfId="0" applyNumberFormat="1" applyFont="1" applyFill="1" applyBorder="1" applyAlignment="1">
      <alignment horizontal="left"/>
    </xf>
    <xf numFmtId="4" fontId="17" fillId="2" borderId="1" xfId="0" applyNumberFormat="1" applyFont="1" applyFill="1" applyBorder="1" applyAlignment="1">
      <alignment horizontal="center"/>
    </xf>
    <xf numFmtId="4" fontId="17" fillId="2" borderId="19" xfId="0" applyNumberFormat="1" applyFont="1" applyFill="1" applyBorder="1" applyAlignment="1">
      <alignment horizontal="center"/>
    </xf>
    <xf numFmtId="4" fontId="17" fillId="7" borderId="20" xfId="0" applyNumberFormat="1" applyFont="1" applyFill="1" applyBorder="1" applyAlignment="1">
      <alignment horizontal="left"/>
    </xf>
    <xf numFmtId="4" fontId="18" fillId="7" borderId="11" xfId="0" applyNumberFormat="1" applyFont="1" applyFill="1" applyBorder="1" applyAlignment="1">
      <alignment horizontal="right"/>
    </xf>
    <xf numFmtId="4" fontId="18" fillId="7" borderId="21" xfId="0" applyNumberFormat="1" applyFont="1" applyFill="1" applyBorder="1" applyAlignment="1">
      <alignment horizontal="right"/>
    </xf>
    <xf numFmtId="4" fontId="17" fillId="2" borderId="0" xfId="0" applyNumberFormat="1" applyFont="1" applyFill="1" applyBorder="1" applyAlignment="1">
      <alignment horizontal="right"/>
    </xf>
    <xf numFmtId="4" fontId="17" fillId="2" borderId="22" xfId="0" applyNumberFormat="1" applyFont="1" applyFill="1" applyBorder="1" applyAlignment="1">
      <alignment horizontal="right"/>
    </xf>
    <xf numFmtId="4" fontId="18" fillId="2" borderId="21" xfId="0" applyNumberFormat="1" applyFont="1" applyFill="1" applyBorder="1" applyAlignment="1">
      <alignment horizontal="right"/>
    </xf>
    <xf numFmtId="4" fontId="18" fillId="6" borderId="20" xfId="0" applyNumberFormat="1" applyFont="1" applyFill="1" applyBorder="1" applyAlignment="1">
      <alignment horizontal="left"/>
    </xf>
    <xf numFmtId="4" fontId="18" fillId="6" borderId="11" xfId="0" applyNumberFormat="1" applyFont="1" applyFill="1" applyBorder="1" applyAlignment="1">
      <alignment horizontal="right"/>
    </xf>
    <xf numFmtId="4" fontId="18" fillId="6" borderId="21" xfId="0" applyNumberFormat="1" applyFont="1" applyFill="1" applyBorder="1" applyAlignment="1">
      <alignment horizontal="right"/>
    </xf>
    <xf numFmtId="4" fontId="11" fillId="5" borderId="20" xfId="0" applyNumberFormat="1" applyFont="1" applyFill="1" applyBorder="1" applyAlignment="1">
      <alignment horizontal="left"/>
    </xf>
    <xf numFmtId="4" fontId="11" fillId="5" borderId="11" xfId="0" applyNumberFormat="1" applyFont="1" applyFill="1" applyBorder="1" applyAlignment="1">
      <alignment horizontal="right"/>
    </xf>
    <xf numFmtId="4" fontId="11" fillId="5" borderId="21" xfId="0" applyNumberFormat="1" applyFont="1" applyFill="1" applyBorder="1" applyAlignment="1">
      <alignment horizontal="right"/>
    </xf>
    <xf numFmtId="4" fontId="17" fillId="2" borderId="22" xfId="0" applyNumberFormat="1" applyFont="1" applyFill="1" applyBorder="1" applyAlignment="1">
      <alignment horizontal="center"/>
    </xf>
    <xf numFmtId="4" fontId="17" fillId="4" borderId="14" xfId="0" applyNumberFormat="1" applyFont="1" applyFill="1" applyBorder="1" applyAlignment="1">
      <alignment horizontal="left"/>
    </xf>
    <xf numFmtId="4" fontId="12" fillId="4" borderId="15" xfId="0" applyNumberFormat="1" applyFont="1" applyFill="1" applyBorder="1" applyAlignment="1">
      <alignment horizontal="left"/>
    </xf>
    <xf numFmtId="4" fontId="15" fillId="5" borderId="23" xfId="0" applyNumberFormat="1" applyFont="1" applyFill="1" applyBorder="1" applyAlignment="1">
      <alignment horizontal="left"/>
    </xf>
    <xf numFmtId="4" fontId="15" fillId="5" borderId="24" xfId="0" applyNumberFormat="1" applyFont="1" applyFill="1" applyBorder="1" applyAlignment="1">
      <alignment horizontal="right"/>
    </xf>
    <xf numFmtId="4" fontId="15" fillId="5" borderId="20" xfId="0" applyNumberFormat="1" applyFont="1" applyFill="1" applyBorder="1" applyAlignment="1">
      <alignment horizontal="left"/>
    </xf>
    <xf numFmtId="4" fontId="15" fillId="5" borderId="21" xfId="0" applyNumberFormat="1" applyFont="1" applyFill="1" applyBorder="1" applyAlignment="1">
      <alignment horizontal="center"/>
    </xf>
    <xf numFmtId="4" fontId="17" fillId="2" borderId="19" xfId="0" applyNumberFormat="1" applyFont="1" applyFill="1" applyBorder="1" applyAlignment="1">
      <alignment horizontal="right" vertical="center"/>
    </xf>
    <xf numFmtId="4" fontId="12" fillId="6" borderId="20" xfId="0" applyNumberFormat="1" applyFont="1" applyFill="1" applyBorder="1" applyAlignment="1">
      <alignment horizontal="left"/>
    </xf>
    <xf numFmtId="10" fontId="17" fillId="6" borderId="21" xfId="2" applyNumberFormat="1" applyFont="1" applyFill="1" applyBorder="1" applyAlignment="1">
      <alignment horizontal="right"/>
    </xf>
    <xf numFmtId="4" fontId="12" fillId="4" borderId="23" xfId="0" applyNumberFormat="1" applyFont="1" applyFill="1" applyBorder="1" applyAlignment="1">
      <alignment horizontal="left"/>
    </xf>
    <xf numFmtId="10" fontId="17" fillId="4" borderId="24" xfId="2" applyNumberFormat="1" applyFont="1" applyFill="1" applyBorder="1" applyAlignment="1">
      <alignment horizontal="right"/>
    </xf>
    <xf numFmtId="10" fontId="17" fillId="4" borderId="22" xfId="2" applyNumberFormat="1" applyFont="1" applyFill="1" applyBorder="1" applyAlignment="1">
      <alignment horizontal="right"/>
    </xf>
    <xf numFmtId="4" fontId="12" fillId="2" borderId="0" xfId="0" applyNumberFormat="1" applyFont="1" applyFill="1"/>
    <xf numFmtId="4" fontId="13" fillId="2" borderId="0" xfId="0" applyNumberFormat="1" applyFont="1" applyFill="1" applyAlignment="1"/>
    <xf numFmtId="4" fontId="12" fillId="2" borderId="0" xfId="0" applyNumberFormat="1" applyFont="1" applyFill="1" applyBorder="1"/>
    <xf numFmtId="4" fontId="12" fillId="2" borderId="0" xfId="0" applyNumberFormat="1" applyFont="1" applyFill="1" applyBorder="1" applyAlignment="1"/>
    <xf numFmtId="9" fontId="12" fillId="2" borderId="0" xfId="2" applyFont="1" applyFill="1" applyBorder="1" applyAlignment="1"/>
    <xf numFmtId="9" fontId="12" fillId="2" borderId="0" xfId="2" applyFont="1" applyFill="1" applyAlignment="1"/>
    <xf numFmtId="9" fontId="12" fillId="2" borderId="0" xfId="2" applyFont="1" applyFill="1" applyBorder="1"/>
    <xf numFmtId="4" fontId="13" fillId="2" borderId="11" xfId="0" applyNumberFormat="1" applyFont="1" applyFill="1" applyBorder="1"/>
    <xf numFmtId="10" fontId="12" fillId="2" borderId="0" xfId="2" applyNumberFormat="1" applyFont="1" applyFill="1"/>
    <xf numFmtId="4" fontId="13" fillId="2" borderId="0" xfId="0" applyNumberFormat="1" applyFont="1" applyFill="1" applyBorder="1" applyAlignment="1">
      <alignment horizontal="center"/>
    </xf>
    <xf numFmtId="4" fontId="18" fillId="2" borderId="0" xfId="0" applyNumberFormat="1" applyFont="1" applyFill="1" applyBorder="1" applyAlignment="1">
      <alignment horizontal="left"/>
    </xf>
    <xf numFmtId="4" fontId="13" fillId="2" borderId="0" xfId="0" applyNumberFormat="1" applyFont="1" applyFill="1" applyBorder="1"/>
    <xf numFmtId="4" fontId="17" fillId="2" borderId="0" xfId="0" applyNumberFormat="1" applyFont="1" applyFill="1" applyBorder="1" applyAlignment="1">
      <alignment horizontal="left"/>
    </xf>
    <xf numFmtId="4" fontId="13" fillId="2" borderId="0" xfId="0" applyNumberFormat="1" applyFont="1" applyFill="1"/>
    <xf numFmtId="4" fontId="12" fillId="2" borderId="14" xfId="0" applyNumberFormat="1" applyFont="1" applyFill="1" applyBorder="1"/>
    <xf numFmtId="4" fontId="12" fillId="2" borderId="22" xfId="0" applyNumberFormat="1" applyFont="1" applyFill="1" applyBorder="1" applyAlignment="1"/>
    <xf numFmtId="9" fontId="12" fillId="2" borderId="22" xfId="2" applyFont="1" applyFill="1" applyBorder="1" applyAlignment="1"/>
    <xf numFmtId="4" fontId="12" fillId="2" borderId="22" xfId="0" applyNumberFormat="1" applyFont="1" applyFill="1" applyBorder="1"/>
    <xf numFmtId="4" fontId="12" fillId="2" borderId="15" xfId="0" applyNumberFormat="1" applyFont="1" applyFill="1" applyBorder="1"/>
    <xf numFmtId="4" fontId="12" fillId="2" borderId="1" xfId="0" applyNumberFormat="1" applyFont="1" applyFill="1" applyBorder="1"/>
    <xf numFmtId="4" fontId="12" fillId="2" borderId="19" xfId="0" applyNumberFormat="1" applyFont="1" applyFill="1" applyBorder="1"/>
    <xf numFmtId="4" fontId="12" fillId="7" borderId="20" xfId="0" applyNumberFormat="1" applyFont="1" applyFill="1" applyBorder="1"/>
    <xf numFmtId="4" fontId="12" fillId="7" borderId="21" xfId="0" applyNumberFormat="1" applyFont="1" applyFill="1" applyBorder="1" applyAlignment="1">
      <alignment horizontal="center"/>
    </xf>
    <xf numFmtId="4" fontId="13" fillId="7" borderId="11" xfId="0" applyNumberFormat="1" applyFont="1" applyFill="1" applyBorder="1" applyAlignment="1">
      <alignment horizontal="right"/>
    </xf>
    <xf numFmtId="4" fontId="13" fillId="2" borderId="21" xfId="0" applyNumberFormat="1" applyFont="1" applyFill="1" applyBorder="1"/>
    <xf numFmtId="4" fontId="13" fillId="6" borderId="11" xfId="0" applyNumberFormat="1" applyFont="1" applyFill="1" applyBorder="1"/>
    <xf numFmtId="4" fontId="13" fillId="6" borderId="21" xfId="0" applyNumberFormat="1" applyFont="1" applyFill="1" applyBorder="1"/>
    <xf numFmtId="4" fontId="18" fillId="4" borderId="20" xfId="0" applyNumberFormat="1" applyFont="1" applyFill="1" applyBorder="1" applyAlignment="1">
      <alignment horizontal="left"/>
    </xf>
    <xf numFmtId="4" fontId="13" fillId="4" borderId="11" xfId="0" applyNumberFormat="1" applyFont="1" applyFill="1" applyBorder="1"/>
    <xf numFmtId="4" fontId="13" fillId="4" borderId="21" xfId="0" applyNumberFormat="1" applyFont="1" applyFill="1" applyBorder="1"/>
    <xf numFmtId="4" fontId="17" fillId="6" borderId="21" xfId="0" applyNumberFormat="1" applyFont="1" applyFill="1" applyBorder="1" applyAlignment="1">
      <alignment horizontal="right"/>
    </xf>
    <xf numFmtId="4" fontId="15" fillId="5" borderId="14" xfId="0" applyNumberFormat="1" applyFont="1" applyFill="1" applyBorder="1" applyAlignment="1">
      <alignment horizontal="left"/>
    </xf>
    <xf numFmtId="4" fontId="15" fillId="5" borderId="22" xfId="0" applyNumberFormat="1" applyFont="1" applyFill="1" applyBorder="1" applyAlignment="1">
      <alignment horizontal="center"/>
    </xf>
    <xf numFmtId="4" fontId="12" fillId="6" borderId="15" xfId="0" applyNumberFormat="1" applyFont="1" applyFill="1" applyBorder="1"/>
    <xf numFmtId="4" fontId="12" fillId="6" borderId="20" xfId="0" applyNumberFormat="1" applyFont="1" applyFill="1" applyBorder="1"/>
    <xf numFmtId="10" fontId="18" fillId="6" borderId="21" xfId="2" applyNumberFormat="1" applyFont="1" applyFill="1" applyBorder="1" applyAlignment="1">
      <alignment horizontal="right"/>
    </xf>
    <xf numFmtId="4" fontId="12" fillId="4" borderId="23" xfId="0" applyNumberFormat="1" applyFont="1" applyFill="1" applyBorder="1"/>
    <xf numFmtId="10" fontId="18" fillId="4" borderId="24" xfId="2" applyNumberFormat="1" applyFont="1" applyFill="1" applyBorder="1" applyAlignment="1">
      <alignment horizontal="right"/>
    </xf>
    <xf numFmtId="4" fontId="12" fillId="4" borderId="14" xfId="0" applyNumberFormat="1" applyFont="1" applyFill="1" applyBorder="1" applyAlignment="1">
      <alignment horizontal="left"/>
    </xf>
    <xf numFmtId="10" fontId="18" fillId="4" borderId="22" xfId="2" applyNumberFormat="1" applyFont="1" applyFill="1" applyBorder="1" applyAlignment="1">
      <alignment horizontal="right"/>
    </xf>
    <xf numFmtId="4" fontId="12" fillId="5" borderId="20" xfId="0" applyNumberFormat="1" applyFont="1" applyFill="1" applyBorder="1"/>
    <xf numFmtId="4" fontId="15" fillId="5" borderId="20" xfId="0" applyNumberFormat="1" applyFont="1" applyFill="1" applyBorder="1"/>
    <xf numFmtId="4" fontId="12" fillId="6" borderId="23" xfId="0" applyNumberFormat="1" applyFont="1" applyFill="1" applyBorder="1"/>
    <xf numFmtId="4" fontId="15" fillId="2" borderId="0" xfId="0" applyNumberFormat="1" applyFont="1" applyFill="1" applyBorder="1"/>
    <xf numFmtId="4" fontId="15" fillId="5" borderId="20" xfId="0" applyNumberFormat="1" applyFont="1" applyFill="1" applyBorder="1" applyAlignment="1">
      <alignment horizontal="right"/>
    </xf>
    <xf numFmtId="4" fontId="15" fillId="5" borderId="11" xfId="0" applyNumberFormat="1" applyFont="1" applyFill="1" applyBorder="1" applyAlignment="1">
      <alignment horizontal="right"/>
    </xf>
    <xf numFmtId="4" fontId="12" fillId="2" borderId="21" xfId="0" applyNumberFormat="1" applyFont="1" applyFill="1" applyBorder="1"/>
    <xf numFmtId="10" fontId="12" fillId="2" borderId="19" xfId="2" applyNumberFormat="1" applyFont="1" applyFill="1" applyBorder="1"/>
    <xf numFmtId="10" fontId="12" fillId="2" borderId="21" xfId="2" applyNumberFormat="1" applyFont="1" applyFill="1" applyBorder="1"/>
    <xf numFmtId="4" fontId="12" fillId="4" borderId="20" xfId="0" applyNumberFormat="1" applyFont="1" applyFill="1" applyBorder="1"/>
    <xf numFmtId="4" fontId="12" fillId="4" borderId="15" xfId="0" applyNumberFormat="1" applyFont="1" applyFill="1" applyBorder="1"/>
    <xf numFmtId="4" fontId="13" fillId="6" borderId="20" xfId="0" applyNumberFormat="1" applyFont="1" applyFill="1" applyBorder="1"/>
    <xf numFmtId="9" fontId="12" fillId="2" borderId="22" xfId="2" applyFont="1" applyFill="1" applyBorder="1"/>
    <xf numFmtId="4" fontId="18" fillId="7" borderId="20" xfId="0" applyNumberFormat="1" applyFont="1" applyFill="1" applyBorder="1"/>
    <xf numFmtId="4" fontId="13" fillId="7" borderId="21" xfId="0" applyNumberFormat="1" applyFont="1" applyFill="1" applyBorder="1" applyAlignment="1">
      <alignment horizontal="right"/>
    </xf>
    <xf numFmtId="10" fontId="12" fillId="6" borderId="21" xfId="2" applyNumberFormat="1" applyFont="1" applyFill="1" applyBorder="1"/>
    <xf numFmtId="4" fontId="12" fillId="4" borderId="24" xfId="0" applyNumberFormat="1" applyFont="1" applyFill="1" applyBorder="1"/>
    <xf numFmtId="4" fontId="11" fillId="5" borderId="20" xfId="0" applyNumberFormat="1" applyFont="1" applyFill="1" applyBorder="1"/>
    <xf numFmtId="4" fontId="12" fillId="4" borderId="1" xfId="0" quotePrefix="1" applyNumberFormat="1" applyFont="1" applyFill="1" applyBorder="1"/>
    <xf numFmtId="4" fontId="12" fillId="4" borderId="14" xfId="0" applyNumberFormat="1" applyFont="1" applyFill="1" applyBorder="1"/>
    <xf numFmtId="4" fontId="12" fillId="4" borderId="0" xfId="0" applyNumberFormat="1" applyFont="1" applyFill="1" applyBorder="1"/>
    <xf numFmtId="4" fontId="12" fillId="4" borderId="22" xfId="0" applyNumberFormat="1" applyFont="1" applyFill="1" applyBorder="1"/>
    <xf numFmtId="4" fontId="12" fillId="4" borderId="14" xfId="0" quotePrefix="1" applyNumberFormat="1" applyFont="1" applyFill="1" applyBorder="1" applyAlignment="1">
      <alignment horizontal="center"/>
    </xf>
    <xf numFmtId="4" fontId="12" fillId="4" borderId="0" xfId="0" applyNumberFormat="1" applyFont="1" applyFill="1" applyBorder="1" applyAlignment="1">
      <alignment horizontal="right"/>
    </xf>
    <xf numFmtId="4" fontId="12" fillId="4" borderId="0" xfId="0" applyNumberFormat="1" applyFont="1" applyFill="1" applyBorder="1" applyAlignment="1">
      <alignment horizontal="center" vertical="center"/>
    </xf>
    <xf numFmtId="4" fontId="12" fillId="4" borderId="22" xfId="0" applyNumberFormat="1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>
      <alignment horizontal="right"/>
    </xf>
    <xf numFmtId="4" fontId="12" fillId="4" borderId="1" xfId="0" applyNumberFormat="1" applyFont="1" applyFill="1" applyBorder="1" applyAlignment="1">
      <alignment horizontal="center" vertical="center"/>
    </xf>
    <xf numFmtId="4" fontId="12" fillId="4" borderId="19" xfId="0" applyNumberFormat="1" applyFont="1" applyFill="1" applyBorder="1" applyAlignment="1">
      <alignment horizontal="center" vertical="center"/>
    </xf>
    <xf numFmtId="4" fontId="11" fillId="5" borderId="20" xfId="0" applyNumberFormat="1" applyFont="1" applyFill="1" applyBorder="1" applyAlignment="1">
      <alignment vertical="center"/>
    </xf>
    <xf numFmtId="4" fontId="15" fillId="5" borderId="11" xfId="0" applyNumberFormat="1" applyFont="1" applyFill="1" applyBorder="1"/>
    <xf numFmtId="4" fontId="15" fillId="5" borderId="21" xfId="0" applyNumberFormat="1" applyFont="1" applyFill="1" applyBorder="1"/>
    <xf numFmtId="4" fontId="12" fillId="2" borderId="0" xfId="0" applyNumberFormat="1" applyFont="1" applyFill="1" applyBorder="1" applyAlignment="1">
      <alignment horizontal="right"/>
    </xf>
    <xf numFmtId="4" fontId="12" fillId="2" borderId="0" xfId="0" applyNumberFormat="1" applyFont="1" applyFill="1" applyBorder="1" applyAlignment="1">
      <alignment horizontal="center" vertical="center"/>
    </xf>
    <xf numFmtId="4" fontId="12" fillId="2" borderId="17" xfId="0" applyNumberFormat="1" applyFont="1" applyFill="1" applyBorder="1"/>
    <xf numFmtId="4" fontId="15" fillId="5" borderId="20" xfId="0" applyNumberFormat="1" applyFont="1" applyFill="1" applyBorder="1" applyAlignment="1">
      <alignment vertical="center"/>
    </xf>
    <xf numFmtId="4" fontId="11" fillId="5" borderId="11" xfId="0" applyNumberFormat="1" applyFont="1" applyFill="1" applyBorder="1" applyAlignment="1">
      <alignment horizontal="center" vertical="center"/>
    </xf>
    <xf numFmtId="4" fontId="11" fillId="5" borderId="20" xfId="0" quotePrefix="1" applyNumberFormat="1" applyFont="1" applyFill="1" applyBorder="1" applyAlignment="1">
      <alignment horizontal="center" vertical="center"/>
    </xf>
    <xf numFmtId="4" fontId="11" fillId="5" borderId="20" xfId="0" applyNumberFormat="1" applyFont="1" applyFill="1" applyBorder="1" applyAlignment="1">
      <alignment horizontal="center" vertical="center"/>
    </xf>
    <xf numFmtId="4" fontId="15" fillId="5" borderId="20" xfId="0" applyNumberFormat="1" applyFont="1" applyFill="1" applyBorder="1" applyAlignment="1">
      <alignment horizontal="center" vertical="center"/>
    </xf>
    <xf numFmtId="4" fontId="15" fillId="5" borderId="12" xfId="0" applyNumberFormat="1" applyFont="1" applyFill="1" applyBorder="1" applyAlignment="1">
      <alignment horizontal="center" vertical="center"/>
    </xf>
    <xf numFmtId="4" fontId="12" fillId="6" borderId="14" xfId="0" applyNumberFormat="1" applyFont="1" applyFill="1" applyBorder="1"/>
    <xf numFmtId="4" fontId="12" fillId="6" borderId="0" xfId="0" applyNumberFormat="1" applyFont="1" applyFill="1" applyBorder="1"/>
    <xf numFmtId="4" fontId="12" fillId="2" borderId="16" xfId="0" applyNumberFormat="1" applyFont="1" applyFill="1" applyBorder="1" applyAlignment="1">
      <alignment horizontal="center"/>
    </xf>
    <xf numFmtId="3" fontId="12" fillId="2" borderId="17" xfId="0" applyNumberFormat="1" applyFont="1" applyFill="1" applyBorder="1" applyAlignment="1">
      <alignment horizontal="center"/>
    </xf>
    <xf numFmtId="9" fontId="15" fillId="5" borderId="12" xfId="2" applyFont="1" applyFill="1" applyBorder="1" applyAlignment="1">
      <alignment horizontal="center" vertical="center"/>
    </xf>
    <xf numFmtId="4" fontId="12" fillId="6" borderId="11" xfId="0" applyNumberFormat="1" applyFont="1" applyFill="1" applyBorder="1"/>
    <xf numFmtId="4" fontId="12" fillId="6" borderId="1" xfId="0" applyNumberFormat="1" applyFont="1" applyFill="1" applyBorder="1"/>
    <xf numFmtId="4" fontId="12" fillId="6" borderId="19" xfId="0" applyNumberFormat="1" applyFont="1" applyFill="1" applyBorder="1"/>
    <xf numFmtId="9" fontId="12" fillId="2" borderId="0" xfId="2" applyFont="1" applyFill="1" applyAlignment="1">
      <alignment horizontal="center"/>
    </xf>
    <xf numFmtId="4" fontId="12" fillId="2" borderId="0" xfId="0" applyNumberFormat="1" applyFont="1" applyFill="1" applyAlignment="1">
      <alignment vertical="justify"/>
    </xf>
    <xf numFmtId="166" fontId="12" fillId="2" borderId="0" xfId="0" applyNumberFormat="1" applyFont="1" applyFill="1"/>
    <xf numFmtId="169" fontId="12" fillId="2" borderId="0" xfId="0" applyNumberFormat="1" applyFont="1" applyFill="1" applyAlignment="1">
      <alignment horizontal="right"/>
    </xf>
    <xf numFmtId="4" fontId="17" fillId="2" borderId="0" xfId="0" applyNumberFormat="1" applyFont="1" applyFill="1"/>
    <xf numFmtId="4" fontId="18" fillId="2" borderId="11" xfId="0" applyNumberFormat="1" applyFont="1" applyFill="1" applyBorder="1"/>
    <xf numFmtId="167" fontId="12" fillId="2" borderId="0" xfId="0" applyNumberFormat="1" applyFont="1" applyFill="1"/>
    <xf numFmtId="10" fontId="13" fillId="2" borderId="0" xfId="2" applyNumberFormat="1" applyFont="1" applyFill="1"/>
    <xf numFmtId="4" fontId="17" fillId="2" borderId="0" xfId="0" applyNumberFormat="1" applyFont="1" applyFill="1" applyBorder="1"/>
    <xf numFmtId="4" fontId="13" fillId="6" borderId="11" xfId="0" applyNumberFormat="1" applyFont="1" applyFill="1" applyBorder="1" applyAlignment="1">
      <alignment horizontal="center"/>
    </xf>
    <xf numFmtId="4" fontId="13" fillId="6" borderId="21" xfId="0" applyNumberFormat="1" applyFont="1" applyFill="1" applyBorder="1" applyAlignment="1">
      <alignment horizontal="center"/>
    </xf>
    <xf numFmtId="9" fontId="12" fillId="4" borderId="12" xfId="2" applyFont="1" applyFill="1" applyBorder="1" applyAlignment="1">
      <alignment horizontal="center"/>
    </xf>
    <xf numFmtId="9" fontId="12" fillId="2" borderId="17" xfId="2" applyFont="1" applyFill="1" applyBorder="1" applyAlignment="1">
      <alignment horizontal="center"/>
    </xf>
    <xf numFmtId="9" fontId="12" fillId="4" borderId="16" xfId="2" applyFont="1" applyFill="1" applyBorder="1" applyAlignment="1">
      <alignment horizontal="center"/>
    </xf>
    <xf numFmtId="4" fontId="12" fillId="2" borderId="15" xfId="0" applyNumberFormat="1" applyFont="1" applyFill="1" applyBorder="1" applyAlignment="1">
      <alignment vertical="justify"/>
    </xf>
    <xf numFmtId="4" fontId="11" fillId="5" borderId="21" xfId="0" applyNumberFormat="1" applyFont="1" applyFill="1" applyBorder="1"/>
    <xf numFmtId="4" fontId="12" fillId="2" borderId="1" xfId="0" applyNumberFormat="1" applyFont="1" applyFill="1" applyBorder="1" applyAlignment="1">
      <alignment vertical="center"/>
    </xf>
    <xf numFmtId="4" fontId="12" fillId="2" borderId="15" xfId="0" applyNumberFormat="1" applyFont="1" applyFill="1" applyBorder="1" applyAlignment="1">
      <alignment vertical="center"/>
    </xf>
    <xf numFmtId="4" fontId="12" fillId="2" borderId="19" xfId="0" applyNumberFormat="1" applyFont="1" applyFill="1" applyBorder="1" applyAlignment="1">
      <alignment vertical="center"/>
    </xf>
    <xf numFmtId="4" fontId="11" fillId="5" borderId="11" xfId="0" applyNumberFormat="1" applyFont="1" applyFill="1" applyBorder="1"/>
    <xf numFmtId="10" fontId="12" fillId="2" borderId="22" xfId="2" applyNumberFormat="1" applyFont="1" applyFill="1" applyBorder="1"/>
    <xf numFmtId="4" fontId="12" fillId="6" borderId="13" xfId="0" applyNumberFormat="1" applyFont="1" applyFill="1" applyBorder="1"/>
    <xf numFmtId="4" fontId="13" fillId="6" borderId="23" xfId="0" applyNumberFormat="1" applyFont="1" applyFill="1" applyBorder="1"/>
    <xf numFmtId="10" fontId="12" fillId="6" borderId="24" xfId="2" applyNumberFormat="1" applyFont="1" applyFill="1" applyBorder="1"/>
    <xf numFmtId="0" fontId="17" fillId="2" borderId="0" xfId="0" applyFont="1" applyFill="1"/>
    <xf numFmtId="0" fontId="17" fillId="2" borderId="0" xfId="0" applyFont="1" applyFill="1" applyAlignment="1">
      <alignment horizontal="right"/>
    </xf>
    <xf numFmtId="0" fontId="17" fillId="2" borderId="0" xfId="0" applyFont="1" applyFill="1" applyBorder="1" applyAlignment="1">
      <alignment horizontal="right"/>
    </xf>
    <xf numFmtId="0" fontId="17" fillId="2" borderId="0" xfId="0" applyFont="1" applyFill="1" applyBorder="1"/>
    <xf numFmtId="10" fontId="12" fillId="2" borderId="0" xfId="2" applyNumberFormat="1" applyFont="1" applyFill="1" applyBorder="1"/>
    <xf numFmtId="166" fontId="12" fillId="2" borderId="0" xfId="0" applyNumberFormat="1" applyFont="1" applyFill="1" applyBorder="1"/>
    <xf numFmtId="2" fontId="17" fillId="2" borderId="0" xfId="0" applyNumberFormat="1" applyFont="1" applyFill="1" applyAlignment="1">
      <alignment horizontal="right"/>
    </xf>
    <xf numFmtId="4" fontId="18" fillId="2" borderId="0" xfId="0" applyNumberFormat="1" applyFont="1" applyFill="1"/>
    <xf numFmtId="4" fontId="17" fillId="4" borderId="13" xfId="2" applyNumberFormat="1" applyFont="1" applyFill="1" applyBorder="1"/>
    <xf numFmtId="4" fontId="17" fillId="4" borderId="13" xfId="0" applyNumberFormat="1" applyFont="1" applyFill="1" applyBorder="1"/>
    <xf numFmtId="0" fontId="17" fillId="4" borderId="24" xfId="0" applyFont="1" applyFill="1" applyBorder="1"/>
    <xf numFmtId="10" fontId="12" fillId="4" borderId="0" xfId="2" applyNumberFormat="1" applyFont="1" applyFill="1" applyBorder="1"/>
    <xf numFmtId="4" fontId="17" fillId="4" borderId="0" xfId="0" applyNumberFormat="1" applyFont="1" applyFill="1" applyBorder="1"/>
    <xf numFmtId="0" fontId="17" fillId="4" borderId="22" xfId="0" applyFont="1" applyFill="1" applyBorder="1"/>
    <xf numFmtId="9" fontId="12" fillId="4" borderId="0" xfId="2" applyFont="1" applyFill="1" applyBorder="1"/>
    <xf numFmtId="1" fontId="12" fillId="4" borderId="1" xfId="2" applyNumberFormat="1" applyFont="1" applyFill="1" applyBorder="1"/>
    <xf numFmtId="4" fontId="17" fillId="4" borderId="1" xfId="0" applyNumberFormat="1" applyFont="1" applyFill="1" applyBorder="1"/>
    <xf numFmtId="0" fontId="17" fillId="4" borderId="19" xfId="0" applyFont="1" applyFill="1" applyBorder="1"/>
    <xf numFmtId="10" fontId="12" fillId="6" borderId="19" xfId="2" applyNumberFormat="1" applyFont="1" applyFill="1" applyBorder="1" applyAlignment="1">
      <alignment vertical="center"/>
    </xf>
    <xf numFmtId="4" fontId="12" fillId="6" borderId="18" xfId="0" applyNumberFormat="1" applyFont="1" applyFill="1" applyBorder="1" applyAlignment="1">
      <alignment horizontal="center" vertical="top"/>
    </xf>
    <xf numFmtId="4" fontId="15" fillId="5" borderId="12" xfId="0" applyNumberFormat="1" applyFont="1" applyFill="1" applyBorder="1"/>
    <xf numFmtId="4" fontId="15" fillId="5" borderId="21" xfId="0" applyNumberFormat="1" applyFont="1" applyFill="1" applyBorder="1" applyAlignment="1">
      <alignment vertical="center"/>
    </xf>
    <xf numFmtId="2" fontId="17" fillId="2" borderId="22" xfId="0" applyNumberFormat="1" applyFont="1" applyFill="1" applyBorder="1" applyAlignment="1">
      <alignment horizontal="right"/>
    </xf>
    <xf numFmtId="2" fontId="18" fillId="2" borderId="21" xfId="0" applyNumberFormat="1" applyFont="1" applyFill="1" applyBorder="1"/>
    <xf numFmtId="0" fontId="15" fillId="2" borderId="0" xfId="0" applyFont="1" applyFill="1" applyBorder="1" applyAlignment="1">
      <alignment horizontal="right"/>
    </xf>
    <xf numFmtId="0" fontId="15" fillId="5" borderId="12" xfId="0" applyFont="1" applyFill="1" applyBorder="1" applyAlignment="1">
      <alignment horizontal="left"/>
    </xf>
    <xf numFmtId="4" fontId="11" fillId="5" borderId="21" xfId="0" applyNumberFormat="1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4" fontId="11" fillId="5" borderId="12" xfId="0" applyNumberFormat="1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2" fontId="17" fillId="2" borderId="22" xfId="0" applyNumberFormat="1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2" fontId="17" fillId="2" borderId="19" xfId="0" applyNumberFormat="1" applyFont="1" applyFill="1" applyBorder="1" applyAlignment="1">
      <alignment horizontal="center" vertical="center"/>
    </xf>
    <xf numFmtId="2" fontId="17" fillId="2" borderId="17" xfId="0" applyNumberFormat="1" applyFont="1" applyFill="1" applyBorder="1" applyAlignment="1">
      <alignment horizontal="center"/>
    </xf>
    <xf numFmtId="4" fontId="17" fillId="2" borderId="17" xfId="0" applyNumberFormat="1" applyFont="1" applyFill="1" applyBorder="1" applyAlignment="1">
      <alignment horizontal="center"/>
    </xf>
    <xf numFmtId="2" fontId="17" fillId="2" borderId="18" xfId="0" applyNumberFormat="1" applyFont="1" applyFill="1" applyBorder="1" applyAlignment="1">
      <alignment horizontal="center"/>
    </xf>
    <xf numFmtId="4" fontId="17" fillId="2" borderId="18" xfId="0" applyNumberFormat="1" applyFont="1" applyFill="1" applyBorder="1" applyAlignment="1">
      <alignment horizontal="center"/>
    </xf>
    <xf numFmtId="4" fontId="17" fillId="6" borderId="11" xfId="0" applyNumberFormat="1" applyFont="1" applyFill="1" applyBorder="1"/>
    <xf numFmtId="0" fontId="17" fillId="6" borderId="21" xfId="0" applyFont="1" applyFill="1" applyBorder="1"/>
    <xf numFmtId="0" fontId="17" fillId="4" borderId="12" xfId="0" applyFont="1" applyFill="1" applyBorder="1" applyAlignment="1">
      <alignment horizontal="right"/>
    </xf>
    <xf numFmtId="4" fontId="12" fillId="2" borderId="0" xfId="0" applyNumberFormat="1" applyFont="1" applyFill="1" applyBorder="1" applyAlignment="1">
      <alignment horizontal="center"/>
    </xf>
    <xf numFmtId="4" fontId="13" fillId="2" borderId="14" xfId="0" applyNumberFormat="1" applyFont="1" applyFill="1" applyBorder="1" applyAlignment="1">
      <alignment horizontal="center"/>
    </xf>
    <xf numFmtId="4" fontId="12" fillId="2" borderId="22" xfId="0" applyNumberFormat="1" applyFont="1" applyFill="1" applyBorder="1" applyAlignment="1">
      <alignment horizontal="center"/>
    </xf>
    <xf numFmtId="4" fontId="11" fillId="5" borderId="20" xfId="0" applyNumberFormat="1" applyFont="1" applyFill="1" applyBorder="1" applyAlignment="1">
      <alignment horizontal="center"/>
    </xf>
    <xf numFmtId="4" fontId="11" fillId="5" borderId="11" xfId="0" applyNumberFormat="1" applyFont="1" applyFill="1" applyBorder="1" applyAlignment="1">
      <alignment horizontal="center"/>
    </xf>
    <xf numFmtId="4" fontId="11" fillId="5" borderId="21" xfId="0" applyNumberFormat="1" applyFont="1" applyFill="1" applyBorder="1" applyAlignment="1">
      <alignment horizontal="center"/>
    </xf>
    <xf numFmtId="9" fontId="17" fillId="2" borderId="0" xfId="2" applyFont="1" applyFill="1" applyBorder="1" applyAlignment="1">
      <alignment horizontal="center"/>
    </xf>
    <xf numFmtId="4" fontId="12" fillId="2" borderId="0" xfId="0" applyNumberFormat="1" applyFont="1" applyFill="1" applyBorder="1" applyAlignment="1">
      <alignment horizontal="center"/>
    </xf>
    <xf numFmtId="4" fontId="12" fillId="2" borderId="22" xfId="0" applyNumberFormat="1" applyFont="1" applyFill="1" applyBorder="1" applyAlignment="1">
      <alignment horizontal="center"/>
    </xf>
    <xf numFmtId="4" fontId="13" fillId="7" borderId="20" xfId="0" applyNumberFormat="1" applyFont="1" applyFill="1" applyBorder="1" applyAlignment="1">
      <alignment horizontal="center"/>
    </xf>
    <xf numFmtId="4" fontId="12" fillId="2" borderId="24" xfId="0" applyNumberFormat="1" applyFont="1" applyFill="1" applyBorder="1"/>
    <xf numFmtId="10" fontId="12" fillId="2" borderId="0" xfId="2" applyNumberFormat="1" applyFont="1" applyFill="1" applyBorder="1" applyAlignment="1">
      <alignment horizontal="right"/>
    </xf>
    <xf numFmtId="14" fontId="12" fillId="2" borderId="0" xfId="0" applyNumberFormat="1" applyFont="1" applyFill="1" applyBorder="1"/>
    <xf numFmtId="4" fontId="15" fillId="5" borderId="24" xfId="0" applyNumberFormat="1" applyFont="1" applyFill="1" applyBorder="1"/>
    <xf numFmtId="4" fontId="15" fillId="5" borderId="11" xfId="0" applyNumberFormat="1" applyFont="1" applyFill="1" applyBorder="1" applyAlignment="1">
      <alignment horizontal="center"/>
    </xf>
    <xf numFmtId="9" fontId="12" fillId="2" borderId="21" xfId="2" applyFont="1" applyFill="1" applyBorder="1"/>
    <xf numFmtId="10" fontId="13" fillId="4" borderId="24" xfId="2" applyNumberFormat="1" applyFont="1" applyFill="1" applyBorder="1"/>
    <xf numFmtId="4" fontId="12" fillId="4" borderId="14" xfId="0" applyNumberFormat="1" applyFont="1" applyFill="1" applyBorder="1" applyAlignment="1">
      <alignment horizontal="center"/>
    </xf>
    <xf numFmtId="10" fontId="13" fillId="4" borderId="22" xfId="2" applyNumberFormat="1" applyFont="1" applyFill="1" applyBorder="1"/>
    <xf numFmtId="10" fontId="13" fillId="6" borderId="21" xfId="2" applyNumberFormat="1" applyFont="1" applyFill="1" applyBorder="1"/>
    <xf numFmtId="4" fontId="13" fillId="2" borderId="20" xfId="0" applyNumberFormat="1" applyFont="1" applyFill="1" applyBorder="1"/>
    <xf numFmtId="4" fontId="12" fillId="5" borderId="23" xfId="0" applyNumberFormat="1" applyFont="1" applyFill="1" applyBorder="1"/>
    <xf numFmtId="4" fontId="11" fillId="5" borderId="13" xfId="0" applyNumberFormat="1" applyFont="1" applyFill="1" applyBorder="1" applyAlignment="1">
      <alignment horizontal="right"/>
    </xf>
    <xf numFmtId="4" fontId="15" fillId="5" borderId="23" xfId="0" applyNumberFormat="1" applyFont="1" applyFill="1" applyBorder="1"/>
    <xf numFmtId="4" fontId="17" fillId="2" borderId="14" xfId="0" applyNumberFormat="1" applyFont="1" applyFill="1" applyBorder="1"/>
    <xf numFmtId="4" fontId="18" fillId="2" borderId="20" xfId="0" applyNumberFormat="1" applyFont="1" applyFill="1" applyBorder="1"/>
    <xf numFmtId="4" fontId="18" fillId="6" borderId="20" xfId="0" applyNumberFormat="1" applyFont="1" applyFill="1" applyBorder="1"/>
    <xf numFmtId="4" fontId="12" fillId="2" borderId="0" xfId="0" applyNumberFormat="1" applyFont="1" applyFill="1" applyBorder="1" applyAlignment="1">
      <alignment vertical="justify"/>
    </xf>
    <xf numFmtId="4" fontId="13" fillId="2" borderId="0" xfId="0" applyNumberFormat="1" applyFont="1" applyFill="1" applyBorder="1" applyAlignment="1"/>
    <xf numFmtId="10" fontId="12" fillId="2" borderId="0" xfId="2" applyNumberFormat="1" applyFont="1" applyFill="1" applyBorder="1" applyAlignment="1">
      <alignment vertical="justify"/>
    </xf>
    <xf numFmtId="4" fontId="12" fillId="2" borderId="0" xfId="2" applyNumberFormat="1" applyFont="1" applyFill="1" applyBorder="1"/>
    <xf numFmtId="4" fontId="12" fillId="2" borderId="0" xfId="0" quotePrefix="1" applyNumberFormat="1" applyFont="1" applyFill="1"/>
    <xf numFmtId="4" fontId="12" fillId="2" borderId="0" xfId="2" applyNumberFormat="1" applyFont="1" applyFill="1"/>
    <xf numFmtId="3" fontId="12" fillId="2" borderId="0" xfId="0" applyNumberFormat="1" applyFont="1" applyFill="1"/>
    <xf numFmtId="3" fontId="12" fillId="2" borderId="0" xfId="0" applyNumberFormat="1" applyFont="1" applyFill="1" applyAlignment="1">
      <alignment vertical="justify"/>
    </xf>
    <xf numFmtId="4" fontId="12" fillId="2" borderId="17" xfId="0" applyNumberFormat="1" applyFont="1" applyFill="1" applyBorder="1" applyAlignment="1">
      <alignment horizontal="center"/>
    </xf>
    <xf numFmtId="4" fontId="12" fillId="2" borderId="17" xfId="0" quotePrefix="1" applyNumberFormat="1" applyFont="1" applyFill="1" applyBorder="1" applyAlignment="1">
      <alignment horizontal="center"/>
    </xf>
    <xf numFmtId="166" fontId="12" fillId="2" borderId="17" xfId="0" applyNumberFormat="1" applyFont="1" applyFill="1" applyBorder="1" applyAlignment="1">
      <alignment horizontal="center"/>
    </xf>
    <xf numFmtId="4" fontId="12" fillId="2" borderId="18" xfId="0" applyNumberFormat="1" applyFont="1" applyFill="1" applyBorder="1"/>
    <xf numFmtId="4" fontId="12" fillId="2" borderId="18" xfId="0" quotePrefix="1" applyNumberFormat="1" applyFont="1" applyFill="1" applyBorder="1" applyAlignment="1">
      <alignment horizontal="center"/>
    </xf>
    <xf numFmtId="166" fontId="12" fillId="2" borderId="18" xfId="0" applyNumberFormat="1" applyFont="1" applyFill="1" applyBorder="1" applyAlignment="1">
      <alignment horizontal="center"/>
    </xf>
    <xf numFmtId="4" fontId="12" fillId="2" borderId="17" xfId="0" applyNumberFormat="1" applyFont="1" applyFill="1" applyBorder="1" applyAlignment="1">
      <alignment vertical="justify"/>
    </xf>
    <xf numFmtId="10" fontId="12" fillId="2" borderId="22" xfId="2" applyNumberFormat="1" applyFont="1" applyFill="1" applyBorder="1" applyAlignment="1">
      <alignment vertical="justify"/>
    </xf>
    <xf numFmtId="3" fontId="12" fillId="2" borderId="0" xfId="0" applyNumberFormat="1" applyFont="1" applyFill="1" applyBorder="1"/>
    <xf numFmtId="3" fontId="12" fillId="2" borderId="0" xfId="0" applyNumberFormat="1" applyFont="1" applyFill="1" applyBorder="1" applyAlignment="1">
      <alignment vertical="justify"/>
    </xf>
    <xf numFmtId="3" fontId="12" fillId="2" borderId="22" xfId="0" applyNumberFormat="1" applyFont="1" applyFill="1" applyBorder="1" applyAlignment="1">
      <alignment vertical="justify"/>
    </xf>
    <xf numFmtId="3" fontId="12" fillId="2" borderId="0" xfId="2" applyNumberFormat="1" applyFont="1" applyFill="1" applyBorder="1"/>
    <xf numFmtId="3" fontId="12" fillId="2" borderId="22" xfId="0" applyNumberFormat="1" applyFont="1" applyFill="1" applyBorder="1"/>
    <xf numFmtId="3" fontId="13" fillId="6" borderId="11" xfId="0" applyNumberFormat="1" applyFont="1" applyFill="1" applyBorder="1"/>
    <xf numFmtId="3" fontId="13" fillId="6" borderId="21" xfId="0" applyNumberFormat="1" applyFont="1" applyFill="1" applyBorder="1"/>
    <xf numFmtId="4" fontId="18" fillId="4" borderId="20" xfId="0" applyNumberFormat="1" applyFont="1" applyFill="1" applyBorder="1"/>
    <xf numFmtId="3" fontId="13" fillId="4" borderId="11" xfId="0" applyNumberFormat="1" applyFont="1" applyFill="1" applyBorder="1"/>
    <xf numFmtId="3" fontId="13" fillId="4" borderId="21" xfId="0" applyNumberFormat="1" applyFont="1" applyFill="1" applyBorder="1"/>
    <xf numFmtId="4" fontId="13" fillId="4" borderId="20" xfId="0" applyNumberFormat="1" applyFont="1" applyFill="1" applyBorder="1"/>
    <xf numFmtId="4" fontId="11" fillId="5" borderId="16" xfId="0" applyNumberFormat="1" applyFont="1" applyFill="1" applyBorder="1" applyAlignment="1">
      <alignment horizontal="center" vertical="center"/>
    </xf>
    <xf numFmtId="4" fontId="11" fillId="5" borderId="17" xfId="0" applyNumberFormat="1" applyFont="1" applyFill="1" applyBorder="1" applyAlignment="1">
      <alignment horizontal="center" vertical="center"/>
    </xf>
    <xf numFmtId="4" fontId="11" fillId="5" borderId="18" xfId="0" applyNumberFormat="1" applyFont="1" applyFill="1" applyBorder="1" applyAlignment="1">
      <alignment horizontal="center" vertical="center"/>
    </xf>
    <xf numFmtId="4" fontId="11" fillId="5" borderId="17" xfId="0" applyNumberFormat="1" applyFont="1" applyFill="1" applyBorder="1" applyAlignment="1">
      <alignment horizontal="center"/>
    </xf>
    <xf numFmtId="4" fontId="11" fillId="5" borderId="0" xfId="0" applyNumberFormat="1" applyFont="1" applyFill="1" applyBorder="1" applyAlignment="1">
      <alignment horizontal="center"/>
    </xf>
    <xf numFmtId="4" fontId="11" fillId="5" borderId="18" xfId="0" applyNumberFormat="1" applyFont="1" applyFill="1" applyBorder="1" applyAlignment="1">
      <alignment horizontal="center"/>
    </xf>
    <xf numFmtId="4" fontId="11" fillId="5" borderId="15" xfId="0" applyNumberFormat="1" applyFont="1" applyFill="1" applyBorder="1" applyAlignment="1">
      <alignment horizontal="center"/>
    </xf>
    <xf numFmtId="4" fontId="11" fillId="5" borderId="16" xfId="0" applyNumberFormat="1" applyFont="1" applyFill="1" applyBorder="1" applyAlignment="1">
      <alignment horizontal="center"/>
    </xf>
    <xf numFmtId="4" fontId="11" fillId="5" borderId="13" xfId="0" applyNumberFormat="1" applyFont="1" applyFill="1" applyBorder="1" applyAlignment="1">
      <alignment horizontal="center"/>
    </xf>
    <xf numFmtId="4" fontId="15" fillId="5" borderId="14" xfId="0" applyNumberFormat="1" applyFont="1" applyFill="1" applyBorder="1"/>
    <xf numFmtId="4" fontId="15" fillId="5" borderId="22" xfId="0" applyNumberFormat="1" applyFont="1" applyFill="1" applyBorder="1"/>
    <xf numFmtId="4" fontId="15" fillId="5" borderId="19" xfId="0" applyNumberFormat="1" applyFont="1" applyFill="1" applyBorder="1" applyAlignment="1">
      <alignment horizontal="left"/>
    </xf>
    <xf numFmtId="4" fontId="12" fillId="2" borderId="18" xfId="0" applyNumberFormat="1" applyFont="1" applyFill="1" applyBorder="1" applyAlignment="1">
      <alignment vertical="justify"/>
    </xf>
    <xf numFmtId="4" fontId="18" fillId="2" borderId="21" xfId="0" applyNumberFormat="1" applyFont="1" applyFill="1" applyBorder="1"/>
    <xf numFmtId="4" fontId="15" fillId="5" borderId="20" xfId="2" applyNumberFormat="1" applyFont="1" applyFill="1" applyBorder="1"/>
    <xf numFmtId="4" fontId="18" fillId="6" borderId="11" xfId="0" applyNumberFormat="1" applyFont="1" applyFill="1" applyBorder="1"/>
    <xf numFmtId="4" fontId="18" fillId="6" borderId="21" xfId="0" applyNumberFormat="1" applyFont="1" applyFill="1" applyBorder="1"/>
    <xf numFmtId="4" fontId="15" fillId="2" borderId="0" xfId="0" applyNumberFormat="1" applyFont="1" applyFill="1" applyBorder="1" applyAlignment="1">
      <alignment horizontal="left"/>
    </xf>
    <xf numFmtId="4" fontId="12" fillId="4" borderId="23" xfId="0" quotePrefix="1" applyNumberFormat="1" applyFont="1" applyFill="1" applyBorder="1" applyAlignment="1">
      <alignment horizontal="left"/>
    </xf>
    <xf numFmtId="9" fontId="12" fillId="4" borderId="13" xfId="2" applyFont="1" applyFill="1" applyBorder="1" applyAlignment="1">
      <alignment horizontal="left"/>
    </xf>
    <xf numFmtId="4" fontId="12" fillId="4" borderId="24" xfId="0" applyNumberFormat="1" applyFont="1" applyFill="1" applyBorder="1" applyAlignment="1">
      <alignment horizontal="left"/>
    </xf>
    <xf numFmtId="9" fontId="12" fillId="4" borderId="0" xfId="2" applyFont="1" applyFill="1" applyBorder="1" applyAlignment="1">
      <alignment horizontal="left"/>
    </xf>
    <xf numFmtId="4" fontId="12" fillId="4" borderId="22" xfId="0" applyNumberFormat="1" applyFont="1" applyFill="1" applyBorder="1" applyAlignment="1">
      <alignment horizontal="left"/>
    </xf>
    <xf numFmtId="4" fontId="12" fillId="4" borderId="14" xfId="0" quotePrefix="1" applyNumberFormat="1" applyFont="1" applyFill="1" applyBorder="1" applyAlignment="1">
      <alignment horizontal="left"/>
    </xf>
    <xf numFmtId="4" fontId="12" fillId="4" borderId="0" xfId="0" applyNumberFormat="1" applyFont="1" applyFill="1" applyBorder="1" applyAlignment="1">
      <alignment horizontal="left"/>
    </xf>
    <xf numFmtId="4" fontId="12" fillId="4" borderId="15" xfId="0" quotePrefix="1" applyNumberFormat="1" applyFont="1" applyFill="1" applyBorder="1" applyAlignment="1">
      <alignment horizontal="left"/>
    </xf>
    <xf numFmtId="9" fontId="12" fillId="4" borderId="1" xfId="2" applyFont="1" applyFill="1" applyBorder="1" applyAlignment="1">
      <alignment horizontal="left"/>
    </xf>
    <xf numFmtId="4" fontId="12" fillId="4" borderId="19" xfId="0" applyNumberFormat="1" applyFont="1" applyFill="1" applyBorder="1" applyAlignment="1">
      <alignment horizontal="left"/>
    </xf>
    <xf numFmtId="4" fontId="15" fillId="5" borderId="20" xfId="0" applyNumberFormat="1" applyFont="1" applyFill="1" applyBorder="1" applyAlignment="1">
      <alignment horizontal="center" vertical="top"/>
    </xf>
    <xf numFmtId="14" fontId="12" fillId="2" borderId="22" xfId="0" applyNumberFormat="1" applyFont="1" applyFill="1" applyBorder="1"/>
    <xf numFmtId="10" fontId="12" fillId="2" borderId="1" xfId="2" applyNumberFormat="1" applyFont="1" applyFill="1" applyBorder="1" applyAlignment="1">
      <alignment horizontal="right"/>
    </xf>
    <xf numFmtId="14" fontId="12" fillId="2" borderId="19" xfId="0" applyNumberFormat="1" applyFont="1" applyFill="1" applyBorder="1"/>
    <xf numFmtId="10" fontId="12" fillId="4" borderId="24" xfId="2" applyNumberFormat="1" applyFont="1" applyFill="1" applyBorder="1"/>
    <xf numFmtId="10" fontId="12" fillId="4" borderId="22" xfId="2" applyNumberFormat="1" applyFont="1" applyFill="1" applyBorder="1"/>
    <xf numFmtId="4" fontId="17" fillId="2" borderId="23" xfId="0" applyNumberFormat="1" applyFont="1" applyFill="1" applyBorder="1"/>
    <xf numFmtId="4" fontId="17" fillId="2" borderId="15" xfId="0" applyNumberFormat="1" applyFont="1" applyFill="1" applyBorder="1"/>
    <xf numFmtId="4" fontId="17" fillId="6" borderId="20" xfId="0" applyNumberFormat="1" applyFont="1" applyFill="1" applyBorder="1"/>
    <xf numFmtId="4" fontId="17" fillId="4" borderId="14" xfId="0" applyNumberFormat="1" applyFont="1" applyFill="1" applyBorder="1"/>
    <xf numFmtId="4" fontId="17" fillId="4" borderId="15" xfId="0" applyNumberFormat="1" applyFont="1" applyFill="1" applyBorder="1"/>
    <xf numFmtId="4" fontId="12" fillId="4" borderId="19" xfId="0" applyNumberFormat="1" applyFont="1" applyFill="1" applyBorder="1"/>
    <xf numFmtId="4" fontId="11" fillId="5" borderId="23" xfId="0" applyNumberFormat="1" applyFont="1" applyFill="1" applyBorder="1" applyAlignment="1">
      <alignment horizontal="center"/>
    </xf>
    <xf numFmtId="4" fontId="12" fillId="2" borderId="19" xfId="0" applyNumberFormat="1" applyFont="1" applyFill="1" applyBorder="1" applyAlignment="1">
      <alignment horizontal="right"/>
    </xf>
    <xf numFmtId="9" fontId="12" fillId="2" borderId="22" xfId="2" applyFont="1" applyFill="1" applyBorder="1" applyAlignment="1">
      <alignment horizontal="right"/>
    </xf>
    <xf numFmtId="4" fontId="12" fillId="6" borderId="21" xfId="0" applyNumberFormat="1" applyFont="1" applyFill="1" applyBorder="1"/>
    <xf numFmtId="4" fontId="12" fillId="2" borderId="22" xfId="0" applyNumberFormat="1" applyFont="1" applyFill="1" applyBorder="1" applyAlignment="1">
      <alignment horizontal="right"/>
    </xf>
    <xf numFmtId="10" fontId="12" fillId="2" borderId="22" xfId="2" applyNumberFormat="1" applyFont="1" applyFill="1" applyBorder="1" applyAlignment="1">
      <alignment horizontal="right"/>
    </xf>
    <xf numFmtId="10" fontId="12" fillId="2" borderId="19" xfId="2" applyNumberFormat="1" applyFont="1" applyFill="1" applyBorder="1" applyAlignment="1">
      <alignment horizontal="right"/>
    </xf>
    <xf numFmtId="10" fontId="13" fillId="2" borderId="22" xfId="2" applyNumberFormat="1" applyFont="1" applyFill="1" applyBorder="1" applyAlignment="1">
      <alignment horizontal="right"/>
    </xf>
    <xf numFmtId="10" fontId="13" fillId="2" borderId="19" xfId="2" applyNumberFormat="1" applyFont="1" applyFill="1" applyBorder="1" applyAlignment="1">
      <alignment horizontal="right"/>
    </xf>
    <xf numFmtId="10" fontId="15" fillId="5" borderId="24" xfId="2" applyNumberFormat="1" applyFont="1" applyFill="1" applyBorder="1" applyAlignment="1">
      <alignment horizontal="right"/>
    </xf>
    <xf numFmtId="10" fontId="13" fillId="6" borderId="21" xfId="2" applyNumberFormat="1" applyFont="1" applyFill="1" applyBorder="1" applyAlignment="1">
      <alignment horizontal="right"/>
    </xf>
    <xf numFmtId="4" fontId="13" fillId="2" borderId="14" xfId="0" applyNumberFormat="1" applyFont="1" applyFill="1" applyBorder="1"/>
    <xf numFmtId="4" fontId="11" fillId="5" borderId="23" xfId="0" applyNumberFormat="1" applyFont="1" applyFill="1" applyBorder="1"/>
    <xf numFmtId="9" fontId="12" fillId="2" borderId="0" xfId="2" applyFont="1" applyFill="1" applyBorder="1" applyAlignment="1">
      <alignment horizontal="right"/>
    </xf>
    <xf numFmtId="4" fontId="17" fillId="2" borderId="22" xfId="0" applyNumberFormat="1" applyFont="1" applyFill="1" applyBorder="1"/>
    <xf numFmtId="4" fontId="12" fillId="2" borderId="22" xfId="0" applyNumberFormat="1" applyFont="1" applyFill="1" applyBorder="1" applyAlignment="1">
      <alignment horizontal="right" vertical="center"/>
    </xf>
    <xf numFmtId="2" fontId="12" fillId="2" borderId="22" xfId="2" applyNumberFormat="1" applyFont="1" applyFill="1" applyBorder="1" applyAlignment="1">
      <alignment horizontal="right"/>
    </xf>
    <xf numFmtId="9" fontId="12" fillId="2" borderId="19" xfId="2" applyFont="1" applyFill="1" applyBorder="1" applyAlignment="1">
      <alignment horizontal="right"/>
    </xf>
    <xf numFmtId="4" fontId="12" fillId="5" borderId="21" xfId="0" applyNumberFormat="1" applyFont="1" applyFill="1" applyBorder="1"/>
    <xf numFmtId="4" fontId="17" fillId="2" borderId="24" xfId="0" applyNumberFormat="1" applyFont="1" applyFill="1" applyBorder="1"/>
    <xf numFmtId="9" fontId="17" fillId="2" borderId="22" xfId="2" applyFont="1" applyFill="1" applyBorder="1"/>
    <xf numFmtId="166" fontId="21" fillId="2" borderId="0" xfId="0" applyNumberFormat="1" applyFont="1" applyFill="1"/>
    <xf numFmtId="166" fontId="21" fillId="2" borderId="0" xfId="0" applyNumberFormat="1" applyFont="1" applyFill="1" applyAlignment="1">
      <alignment horizontal="right"/>
    </xf>
    <xf numFmtId="166" fontId="21" fillId="2" borderId="0" xfId="0" applyNumberFormat="1" applyFont="1" applyFill="1" applyBorder="1"/>
    <xf numFmtId="166" fontId="22" fillId="2" borderId="0" xfId="0" applyNumberFormat="1" applyFont="1" applyFill="1" applyBorder="1" applyAlignment="1"/>
    <xf numFmtId="166" fontId="22" fillId="2" borderId="0" xfId="0" applyNumberFormat="1" applyFont="1" applyFill="1" applyBorder="1"/>
    <xf numFmtId="166" fontId="22" fillId="2" borderId="0" xfId="0" applyNumberFormat="1" applyFont="1" applyFill="1" applyAlignment="1">
      <alignment horizontal="center"/>
    </xf>
    <xf numFmtId="10" fontId="21" fillId="2" borderId="0" xfId="2" applyNumberFormat="1" applyFont="1" applyFill="1" applyBorder="1"/>
    <xf numFmtId="4" fontId="12" fillId="2" borderId="7" xfId="0" applyNumberFormat="1" applyFont="1" applyFill="1" applyBorder="1" applyAlignment="1">
      <alignment horizontal="left"/>
    </xf>
    <xf numFmtId="4" fontId="21" fillId="2" borderId="0" xfId="0" applyNumberFormat="1" applyFont="1" applyFill="1" applyBorder="1" applyAlignment="1">
      <alignment horizontal="right"/>
    </xf>
    <xf numFmtId="166" fontId="22" fillId="2" borderId="0" xfId="0" applyNumberFormat="1" applyFont="1" applyFill="1"/>
    <xf numFmtId="10" fontId="21" fillId="2" borderId="0" xfId="2" applyNumberFormat="1" applyFont="1" applyFill="1"/>
    <xf numFmtId="166" fontId="21" fillId="2" borderId="14" xfId="0" applyNumberFormat="1" applyFont="1" applyFill="1" applyBorder="1"/>
    <xf numFmtId="166" fontId="21" fillId="2" borderId="22" xfId="0" applyNumberFormat="1" applyFont="1" applyFill="1" applyBorder="1"/>
    <xf numFmtId="10" fontId="21" fillId="2" borderId="22" xfId="2" applyNumberFormat="1" applyFont="1" applyFill="1" applyBorder="1"/>
    <xf numFmtId="166" fontId="21" fillId="2" borderId="15" xfId="0" applyNumberFormat="1" applyFont="1" applyFill="1" applyBorder="1"/>
    <xf numFmtId="166" fontId="21" fillId="2" borderId="1" xfId="0" applyNumberFormat="1" applyFont="1" applyFill="1" applyBorder="1"/>
    <xf numFmtId="166" fontId="21" fillId="2" borderId="19" xfId="0" applyNumberFormat="1" applyFont="1" applyFill="1" applyBorder="1"/>
    <xf numFmtId="166" fontId="22" fillId="2" borderId="0" xfId="0" applyNumberFormat="1" applyFont="1" applyFill="1" applyBorder="1" applyAlignment="1">
      <alignment horizontal="center"/>
    </xf>
    <xf numFmtId="166" fontId="22" fillId="7" borderId="20" xfId="0" applyNumberFormat="1" applyFont="1" applyFill="1" applyBorder="1"/>
    <xf numFmtId="166" fontId="22" fillId="7" borderId="11" xfId="0" applyNumberFormat="1" applyFont="1" applyFill="1" applyBorder="1" applyAlignment="1">
      <alignment horizontal="right"/>
    </xf>
    <xf numFmtId="166" fontId="22" fillId="7" borderId="21" xfId="0" applyNumberFormat="1" applyFont="1" applyFill="1" applyBorder="1" applyAlignment="1">
      <alignment horizontal="right"/>
    </xf>
    <xf numFmtId="166" fontId="11" fillId="5" borderId="11" xfId="0" applyNumberFormat="1" applyFont="1" applyFill="1" applyBorder="1" applyAlignment="1">
      <alignment horizontal="right"/>
    </xf>
    <xf numFmtId="166" fontId="11" fillId="5" borderId="21" xfId="0" applyNumberFormat="1" applyFont="1" applyFill="1" applyBorder="1" applyAlignment="1">
      <alignment horizontal="right"/>
    </xf>
    <xf numFmtId="166" fontId="22" fillId="2" borderId="21" xfId="0" applyNumberFormat="1" applyFont="1" applyFill="1" applyBorder="1"/>
    <xf numFmtId="166" fontId="22" fillId="6" borderId="20" xfId="0" applyNumberFormat="1" applyFont="1" applyFill="1" applyBorder="1"/>
    <xf numFmtId="166" fontId="22" fillId="6" borderId="11" xfId="0" applyNumberFormat="1" applyFont="1" applyFill="1" applyBorder="1"/>
    <xf numFmtId="166" fontId="22" fillId="6" borderId="21" xfId="0" applyNumberFormat="1" applyFont="1" applyFill="1" applyBorder="1"/>
    <xf numFmtId="166" fontId="11" fillId="5" borderId="20" xfId="0" applyNumberFormat="1" applyFont="1" applyFill="1" applyBorder="1"/>
    <xf numFmtId="166" fontId="15" fillId="5" borderId="0" xfId="0" applyNumberFormat="1" applyFont="1" applyFill="1"/>
    <xf numFmtId="166" fontId="15" fillId="5" borderId="20" xfId="0" applyNumberFormat="1" applyFont="1" applyFill="1" applyBorder="1"/>
    <xf numFmtId="166" fontId="22" fillId="4" borderId="23" xfId="0" applyNumberFormat="1" applyFont="1" applyFill="1" applyBorder="1"/>
    <xf numFmtId="166" fontId="21" fillId="4" borderId="13" xfId="0" applyNumberFormat="1" applyFont="1" applyFill="1" applyBorder="1"/>
    <xf numFmtId="166" fontId="21" fillId="4" borderId="24" xfId="0" applyNumberFormat="1" applyFont="1" applyFill="1" applyBorder="1"/>
    <xf numFmtId="10" fontId="21" fillId="4" borderId="15" xfId="2" applyNumberFormat="1" applyFont="1" applyFill="1" applyBorder="1"/>
    <xf numFmtId="166" fontId="21" fillId="4" borderId="19" xfId="0" applyNumberFormat="1" applyFont="1" applyFill="1" applyBorder="1"/>
    <xf numFmtId="166" fontId="21" fillId="4" borderId="23" xfId="0" applyNumberFormat="1" applyFont="1" applyFill="1" applyBorder="1"/>
    <xf numFmtId="10" fontId="21" fillId="4" borderId="13" xfId="2" applyNumberFormat="1" applyFont="1" applyFill="1" applyBorder="1"/>
    <xf numFmtId="165" fontId="22" fillId="6" borderId="11" xfId="2" applyNumberFormat="1" applyFont="1" applyFill="1" applyBorder="1"/>
    <xf numFmtId="166" fontId="21" fillId="6" borderId="20" xfId="0" applyNumberFormat="1" applyFont="1" applyFill="1" applyBorder="1"/>
    <xf numFmtId="166" fontId="21" fillId="6" borderId="11" xfId="0" applyNumberFormat="1" applyFont="1" applyFill="1" applyBorder="1"/>
    <xf numFmtId="166" fontId="21" fillId="6" borderId="21" xfId="0" applyNumberFormat="1" applyFont="1" applyFill="1" applyBorder="1"/>
    <xf numFmtId="166" fontId="21" fillId="2" borderId="11" xfId="0" applyNumberFormat="1" applyFont="1" applyFill="1" applyBorder="1"/>
    <xf numFmtId="10" fontId="21" fillId="2" borderId="21" xfId="2" applyNumberFormat="1" applyFont="1" applyFill="1" applyBorder="1"/>
    <xf numFmtId="10" fontId="21" fillId="6" borderId="11" xfId="2" applyNumberFormat="1" applyFont="1" applyFill="1" applyBorder="1"/>
    <xf numFmtId="10" fontId="21" fillId="6" borderId="21" xfId="2" applyNumberFormat="1" applyFont="1" applyFill="1" applyBorder="1"/>
    <xf numFmtId="10" fontId="22" fillId="6" borderId="21" xfId="2" applyNumberFormat="1" applyFont="1" applyFill="1" applyBorder="1"/>
    <xf numFmtId="10" fontId="21" fillId="4" borderId="24" xfId="2" applyNumberFormat="1" applyFont="1" applyFill="1" applyBorder="1"/>
    <xf numFmtId="166" fontId="21" fillId="4" borderId="14" xfId="0" applyNumberFormat="1" applyFont="1" applyFill="1" applyBorder="1"/>
    <xf numFmtId="10" fontId="21" fillId="4" borderId="22" xfId="2" applyNumberFormat="1" applyFont="1" applyFill="1" applyBorder="1"/>
    <xf numFmtId="166" fontId="21" fillId="4" borderId="12" xfId="0" applyNumberFormat="1" applyFont="1" applyFill="1" applyBorder="1"/>
    <xf numFmtId="10" fontId="21" fillId="4" borderId="12" xfId="2" applyNumberFormat="1" applyFont="1" applyFill="1" applyBorder="1"/>
    <xf numFmtId="166" fontId="11" fillId="5" borderId="0" xfId="0" applyNumberFormat="1" applyFont="1" applyFill="1" applyBorder="1" applyAlignment="1">
      <alignment horizontal="center"/>
    </xf>
    <xf numFmtId="166" fontId="21" fillId="6" borderId="20" xfId="0" applyNumberFormat="1" applyFont="1" applyFill="1" applyBorder="1" applyAlignment="1">
      <alignment horizontal="left"/>
    </xf>
    <xf numFmtId="166" fontId="15" fillId="5" borderId="20" xfId="0" applyNumberFormat="1" applyFont="1" applyFill="1" applyBorder="1" applyAlignment="1">
      <alignment horizontal="left"/>
    </xf>
    <xf numFmtId="164" fontId="12" fillId="2" borderId="0" xfId="2" applyNumberFormat="1" applyFont="1" applyFill="1" applyBorder="1"/>
    <xf numFmtId="164" fontId="12" fillId="2" borderId="1" xfId="2" applyNumberFormat="1" applyFont="1" applyFill="1" applyBorder="1"/>
    <xf numFmtId="4" fontId="12" fillId="7" borderId="11" xfId="0" applyNumberFormat="1" applyFont="1" applyFill="1" applyBorder="1"/>
    <xf numFmtId="4" fontId="12" fillId="7" borderId="21" xfId="0" applyNumberFormat="1" applyFont="1" applyFill="1" applyBorder="1"/>
    <xf numFmtId="4" fontId="13" fillId="6" borderId="20" xfId="0" applyNumberFormat="1" applyFont="1" applyFill="1" applyBorder="1" applyAlignment="1">
      <alignment horizontal="center"/>
    </xf>
    <xf numFmtId="4" fontId="11" fillId="5" borderId="12" xfId="0" applyNumberFormat="1" applyFont="1" applyFill="1" applyBorder="1"/>
    <xf numFmtId="4" fontId="12" fillId="4" borderId="12" xfId="0" applyNumberFormat="1" applyFont="1" applyFill="1" applyBorder="1"/>
    <xf numFmtId="4" fontId="17" fillId="2" borderId="7" xfId="0" applyNumberFormat="1" applyFont="1" applyFill="1" applyBorder="1"/>
    <xf numFmtId="4" fontId="17" fillId="2" borderId="8" xfId="0" applyNumberFormat="1" applyFont="1" applyFill="1" applyBorder="1"/>
    <xf numFmtId="164" fontId="17" fillId="2" borderId="0" xfId="2" applyNumberFormat="1" applyFont="1" applyFill="1" applyBorder="1"/>
    <xf numFmtId="9" fontId="17" fillId="2" borderId="0" xfId="2" applyFont="1" applyFill="1" applyBorder="1"/>
    <xf numFmtId="4" fontId="17" fillId="2" borderId="7" xfId="0" applyNumberFormat="1" applyFont="1" applyFill="1" applyBorder="1" applyAlignment="1">
      <alignment horizontal="left"/>
    </xf>
    <xf numFmtId="4" fontId="17" fillId="2" borderId="0" xfId="1" applyNumberFormat="1" applyFont="1" applyFill="1" applyBorder="1"/>
    <xf numFmtId="4" fontId="17" fillId="2" borderId="2" xfId="0" applyNumberFormat="1" applyFont="1" applyFill="1" applyBorder="1"/>
    <xf numFmtId="4" fontId="17" fillId="2" borderId="5" xfId="0" applyNumberFormat="1" applyFont="1" applyFill="1" applyBorder="1"/>
    <xf numFmtId="4" fontId="17" fillId="2" borderId="10" xfId="0" applyNumberFormat="1" applyFont="1" applyFill="1" applyBorder="1"/>
    <xf numFmtId="4" fontId="17" fillId="2" borderId="6" xfId="0" applyNumberFormat="1" applyFont="1" applyFill="1" applyBorder="1"/>
    <xf numFmtId="4" fontId="17" fillId="2" borderId="0" xfId="0" applyNumberFormat="1" applyFont="1" applyFill="1" applyBorder="1" applyAlignment="1">
      <alignment horizontal="center"/>
    </xf>
    <xf numFmtId="4" fontId="17" fillId="2" borderId="13" xfId="0" applyNumberFormat="1" applyFont="1" applyFill="1" applyBorder="1"/>
    <xf numFmtId="4" fontId="17" fillId="2" borderId="25" xfId="0" applyNumberFormat="1" applyFont="1" applyFill="1" applyBorder="1"/>
    <xf numFmtId="4" fontId="17" fillId="2" borderId="26" xfId="0" applyNumberFormat="1" applyFont="1" applyFill="1" applyBorder="1"/>
    <xf numFmtId="4" fontId="17" fillId="2" borderId="1" xfId="0" applyNumberFormat="1" applyFont="1" applyFill="1" applyBorder="1"/>
    <xf numFmtId="4" fontId="17" fillId="2" borderId="19" xfId="0" applyNumberFormat="1" applyFont="1" applyFill="1" applyBorder="1"/>
    <xf numFmtId="4" fontId="15" fillId="2" borderId="11" xfId="0" applyNumberFormat="1" applyFont="1" applyFill="1" applyBorder="1"/>
    <xf numFmtId="4" fontId="15" fillId="2" borderId="21" xfId="0" applyNumberFormat="1" applyFont="1" applyFill="1" applyBorder="1"/>
    <xf numFmtId="0" fontId="13" fillId="7" borderId="11" xfId="0" applyFont="1" applyFill="1" applyBorder="1" applyAlignment="1">
      <alignment horizontal="right"/>
    </xf>
    <xf numFmtId="0" fontId="13" fillId="7" borderId="21" xfId="0" applyFont="1" applyFill="1" applyBorder="1" applyAlignment="1">
      <alignment horizontal="right"/>
    </xf>
    <xf numFmtId="4" fontId="17" fillId="2" borderId="15" xfId="0" applyNumberFormat="1" applyFont="1" applyFill="1" applyBorder="1" applyAlignment="1">
      <alignment horizontal="center"/>
    </xf>
    <xf numFmtId="10" fontId="17" fillId="2" borderId="19" xfId="2" applyNumberFormat="1" applyFont="1" applyFill="1" applyBorder="1"/>
    <xf numFmtId="10" fontId="17" fillId="2" borderId="12" xfId="2" applyNumberFormat="1" applyFont="1" applyFill="1" applyBorder="1"/>
    <xf numFmtId="4" fontId="12" fillId="7" borderId="12" xfId="0" applyNumberFormat="1" applyFont="1" applyFill="1" applyBorder="1" applyAlignment="1">
      <alignment horizontal="center"/>
    </xf>
    <xf numFmtId="4" fontId="12" fillId="6" borderId="12" xfId="0" applyNumberFormat="1" applyFont="1" applyFill="1" applyBorder="1" applyAlignment="1">
      <alignment horizontal="center"/>
    </xf>
    <xf numFmtId="4" fontId="17" fillId="6" borderId="18" xfId="0" applyNumberFormat="1" applyFont="1" applyFill="1" applyBorder="1" applyAlignment="1">
      <alignment horizontal="center"/>
    </xf>
    <xf numFmtId="0" fontId="11" fillId="5" borderId="11" xfId="0" applyFont="1" applyFill="1" applyBorder="1" applyAlignment="1">
      <alignment horizontal="right"/>
    </xf>
    <xf numFmtId="0" fontId="11" fillId="5" borderId="21" xfId="0" applyFont="1" applyFill="1" applyBorder="1" applyAlignment="1">
      <alignment horizontal="right"/>
    </xf>
    <xf numFmtId="4" fontId="17" fillId="4" borderId="23" xfId="0" applyNumberFormat="1" applyFont="1" applyFill="1" applyBorder="1"/>
    <xf numFmtId="4" fontId="17" fillId="4" borderId="24" xfId="0" applyNumberFormat="1" applyFont="1" applyFill="1" applyBorder="1"/>
    <xf numFmtId="4" fontId="17" fillId="4" borderId="22" xfId="0" applyNumberFormat="1" applyFont="1" applyFill="1" applyBorder="1"/>
    <xf numFmtId="4" fontId="17" fillId="2" borderId="12" xfId="0" applyNumberFormat="1" applyFont="1" applyFill="1" applyBorder="1"/>
    <xf numFmtId="9" fontId="12" fillId="4" borderId="0" xfId="2" applyFont="1" applyFill="1" applyBorder="1" applyAlignment="1">
      <alignment horizontal="center"/>
    </xf>
    <xf numFmtId="4" fontId="12" fillId="4" borderId="0" xfId="0" applyNumberFormat="1" applyFont="1" applyFill="1" applyBorder="1" applyAlignment="1">
      <alignment horizontal="center"/>
    </xf>
    <xf numFmtId="9" fontId="12" fillId="4" borderId="22" xfId="2" applyFont="1" applyFill="1" applyBorder="1" applyAlignment="1">
      <alignment horizontal="center"/>
    </xf>
    <xf numFmtId="4" fontId="12" fillId="4" borderId="1" xfId="0" applyNumberFormat="1" applyFont="1" applyFill="1" applyBorder="1"/>
    <xf numFmtId="4" fontId="12" fillId="6" borderId="13" xfId="0" applyNumberFormat="1" applyFont="1" applyFill="1" applyBorder="1" applyAlignment="1">
      <alignment horizontal="center"/>
    </xf>
    <xf numFmtId="4" fontId="12" fillId="6" borderId="1" xfId="0" applyNumberFormat="1" applyFont="1" applyFill="1" applyBorder="1" applyAlignment="1">
      <alignment horizontal="center"/>
    </xf>
    <xf numFmtId="10" fontId="12" fillId="6" borderId="19" xfId="2" applyNumberFormat="1" applyFont="1" applyFill="1" applyBorder="1" applyAlignment="1">
      <alignment horizontal="center"/>
    </xf>
    <xf numFmtId="4" fontId="12" fillId="6" borderId="0" xfId="0" applyNumberFormat="1" applyFont="1" applyFill="1" applyBorder="1" applyAlignment="1">
      <alignment horizontal="center"/>
    </xf>
    <xf numFmtId="10" fontId="12" fillId="4" borderId="0" xfId="2" applyNumberFormat="1" applyFont="1" applyFill="1" applyBorder="1" applyAlignment="1">
      <alignment horizontal="right"/>
    </xf>
    <xf numFmtId="14" fontId="12" fillId="4" borderId="0" xfId="0" applyNumberFormat="1" applyFont="1" applyFill="1" applyBorder="1"/>
    <xf numFmtId="4" fontId="12" fillId="4" borderId="13" xfId="0" applyNumberFormat="1" applyFont="1" applyFill="1" applyBorder="1" applyAlignment="1">
      <alignment horizontal="right"/>
    </xf>
    <xf numFmtId="4" fontId="12" fillId="4" borderId="13" xfId="0" applyNumberFormat="1" applyFont="1" applyFill="1" applyBorder="1"/>
    <xf numFmtId="10" fontId="12" fillId="4" borderId="1" xfId="2" applyNumberFormat="1" applyFont="1" applyFill="1" applyBorder="1" applyAlignment="1">
      <alignment horizontal="right"/>
    </xf>
    <xf numFmtId="14" fontId="12" fillId="4" borderId="1" xfId="0" applyNumberFormat="1" applyFont="1" applyFill="1" applyBorder="1"/>
    <xf numFmtId="4" fontId="15" fillId="5" borderId="12" xfId="0" applyNumberFormat="1" applyFont="1" applyFill="1" applyBorder="1" applyAlignment="1">
      <alignment horizontal="left"/>
    </xf>
    <xf numFmtId="10" fontId="12" fillId="2" borderId="21" xfId="2" applyNumberFormat="1" applyFont="1" applyFill="1" applyBorder="1" applyAlignment="1">
      <alignment horizontal="right"/>
    </xf>
    <xf numFmtId="4" fontId="15" fillId="5" borderId="18" xfId="0" applyNumberFormat="1" applyFont="1" applyFill="1" applyBorder="1" applyAlignment="1">
      <alignment horizontal="center"/>
    </xf>
    <xf numFmtId="3" fontId="17" fillId="2" borderId="0" xfId="0" applyNumberFormat="1" applyFont="1" applyFill="1" applyBorder="1" applyAlignment="1">
      <alignment horizontal="right"/>
    </xf>
    <xf numFmtId="9" fontId="17" fillId="2" borderId="0" xfId="2" applyFont="1" applyFill="1" applyBorder="1" applyAlignment="1">
      <alignment horizontal="right"/>
    </xf>
    <xf numFmtId="10" fontId="17" fillId="2" borderId="0" xfId="2" applyNumberFormat="1" applyFont="1" applyFill="1" applyBorder="1" applyAlignment="1">
      <alignment horizontal="right"/>
    </xf>
    <xf numFmtId="170" fontId="17" fillId="2" borderId="0" xfId="0" applyNumberFormat="1" applyFont="1" applyFill="1" applyAlignment="1">
      <alignment horizontal="center"/>
    </xf>
    <xf numFmtId="10" fontId="17" fillId="2" borderId="0" xfId="2" applyNumberFormat="1" applyFont="1" applyFill="1" applyAlignment="1">
      <alignment horizontal="right"/>
    </xf>
    <xf numFmtId="9" fontId="17" fillId="2" borderId="22" xfId="2" applyFont="1" applyFill="1" applyBorder="1" applyAlignment="1">
      <alignment horizontal="right"/>
    </xf>
    <xf numFmtId="4" fontId="17" fillId="2" borderId="22" xfId="0" applyNumberFormat="1" applyFont="1" applyFill="1" applyBorder="1" applyAlignment="1">
      <alignment horizontal="left"/>
    </xf>
    <xf numFmtId="4" fontId="17" fillId="2" borderId="1" xfId="0" applyNumberFormat="1" applyFont="1" applyFill="1" applyBorder="1" applyAlignment="1">
      <alignment horizontal="right"/>
    </xf>
    <xf numFmtId="4" fontId="17" fillId="2" borderId="19" xfId="0" applyNumberFormat="1" applyFont="1" applyFill="1" applyBorder="1" applyAlignment="1">
      <alignment horizontal="right"/>
    </xf>
    <xf numFmtId="4" fontId="18" fillId="7" borderId="11" xfId="0" applyNumberFormat="1" applyFont="1" applyFill="1" applyBorder="1" applyAlignment="1">
      <alignment horizontal="center"/>
    </xf>
    <xf numFmtId="4" fontId="18" fillId="7" borderId="21" xfId="0" applyNumberFormat="1" applyFont="1" applyFill="1" applyBorder="1" applyAlignment="1">
      <alignment horizontal="center"/>
    </xf>
    <xf numFmtId="4" fontId="17" fillId="2" borderId="14" xfId="0" applyNumberFormat="1" applyFont="1" applyFill="1" applyBorder="1" applyAlignment="1">
      <alignment horizontal="center"/>
    </xf>
    <xf numFmtId="4" fontId="17" fillId="6" borderId="21" xfId="0" applyNumberFormat="1" applyFont="1" applyFill="1" applyBorder="1" applyAlignment="1">
      <alignment horizontal="center"/>
    </xf>
    <xf numFmtId="4" fontId="17" fillId="4" borderId="23" xfId="0" applyNumberFormat="1" applyFont="1" applyFill="1" applyBorder="1" applyAlignment="1">
      <alignment horizontal="left"/>
    </xf>
    <xf numFmtId="4" fontId="17" fillId="4" borderId="24" xfId="0" applyNumberFormat="1" applyFont="1" applyFill="1" applyBorder="1" applyAlignment="1">
      <alignment horizontal="right"/>
    </xf>
    <xf numFmtId="4" fontId="17" fillId="4" borderId="22" xfId="0" applyNumberFormat="1" applyFont="1" applyFill="1" applyBorder="1" applyAlignment="1">
      <alignment horizontal="right"/>
    </xf>
    <xf numFmtId="4" fontId="17" fillId="4" borderId="14" xfId="0" applyNumberFormat="1" applyFont="1" applyFill="1" applyBorder="1" applyAlignment="1">
      <alignment horizontal="center"/>
    </xf>
    <xf numFmtId="4" fontId="17" fillId="4" borderId="22" xfId="0" applyNumberFormat="1" applyFont="1" applyFill="1" applyBorder="1" applyAlignment="1">
      <alignment horizontal="center"/>
    </xf>
    <xf numFmtId="10" fontId="17" fillId="4" borderId="19" xfId="2" applyNumberFormat="1" applyFont="1" applyFill="1" applyBorder="1" applyAlignment="1">
      <alignment horizontal="right"/>
    </xf>
    <xf numFmtId="4" fontId="21" fillId="2" borderId="0" xfId="0" applyNumberFormat="1" applyFont="1" applyFill="1" applyBorder="1"/>
    <xf numFmtId="9" fontId="21" fillId="2" borderId="0" xfId="0" applyNumberFormat="1" applyFont="1" applyFill="1" applyBorder="1"/>
    <xf numFmtId="9" fontId="21" fillId="2" borderId="0" xfId="2" applyNumberFormat="1" applyFont="1" applyFill="1" applyBorder="1"/>
    <xf numFmtId="3" fontId="12" fillId="2" borderId="0" xfId="2" applyNumberFormat="1" applyFont="1" applyFill="1" applyBorder="1" applyAlignment="1">
      <alignment horizontal="right"/>
    </xf>
    <xf numFmtId="9" fontId="21" fillId="2" borderId="22" xfId="2" applyNumberFormat="1" applyFont="1" applyFill="1" applyBorder="1"/>
    <xf numFmtId="166" fontId="22" fillId="7" borderId="20" xfId="0" applyNumberFormat="1" applyFont="1" applyFill="1" applyBorder="1" applyAlignment="1">
      <alignment horizontal="right"/>
    </xf>
    <xf numFmtId="10" fontId="12" fillId="4" borderId="22" xfId="2" applyNumberFormat="1" applyFont="1" applyFill="1" applyBorder="1" applyAlignment="1">
      <alignment horizontal="right"/>
    </xf>
    <xf numFmtId="10" fontId="12" fillId="4" borderId="19" xfId="2" applyNumberFormat="1" applyFont="1" applyFill="1" applyBorder="1" applyAlignment="1">
      <alignment horizontal="right"/>
    </xf>
    <xf numFmtId="10" fontId="17" fillId="2" borderId="0" xfId="2" applyNumberFormat="1" applyFont="1" applyFill="1" applyBorder="1"/>
    <xf numFmtId="167" fontId="17" fillId="2" borderId="0" xfId="0" applyNumberFormat="1" applyFont="1" applyFill="1"/>
    <xf numFmtId="4" fontId="17" fillId="7" borderId="20" xfId="0" applyNumberFormat="1" applyFont="1" applyFill="1" applyBorder="1" applyAlignment="1">
      <alignment horizontal="right"/>
    </xf>
    <xf numFmtId="4" fontId="17" fillId="2" borderId="21" xfId="0" applyNumberFormat="1" applyFont="1" applyFill="1" applyBorder="1"/>
    <xf numFmtId="4" fontId="17" fillId="7" borderId="12" xfId="0" applyNumberFormat="1" applyFont="1" applyFill="1" applyBorder="1" applyAlignment="1">
      <alignment horizontal="left"/>
    </xf>
    <xf numFmtId="4" fontId="12" fillId="7" borderId="18" xfId="0" applyNumberFormat="1" applyFont="1" applyFill="1" applyBorder="1" applyAlignment="1">
      <alignment horizontal="center"/>
    </xf>
    <xf numFmtId="4" fontId="18" fillId="6" borderId="15" xfId="0" applyNumberFormat="1" applyFont="1" applyFill="1" applyBorder="1"/>
    <xf numFmtId="4" fontId="17" fillId="6" borderId="1" xfId="0" applyNumberFormat="1" applyFont="1" applyFill="1" applyBorder="1"/>
    <xf numFmtId="4" fontId="17" fillId="6" borderId="19" xfId="0" applyNumberFormat="1" applyFont="1" applyFill="1" applyBorder="1"/>
    <xf numFmtId="4" fontId="17" fillId="6" borderId="12" xfId="0" applyNumberFormat="1" applyFont="1" applyFill="1" applyBorder="1"/>
    <xf numFmtId="9" fontId="17" fillId="2" borderId="8" xfId="2" applyFont="1" applyFill="1" applyBorder="1" applyAlignment="1">
      <alignment horizontal="center"/>
    </xf>
    <xf numFmtId="4" fontId="17" fillId="7" borderId="20" xfId="0" applyNumberFormat="1" applyFont="1" applyFill="1" applyBorder="1" applyAlignment="1">
      <alignment horizontal="right" vertical="center"/>
    </xf>
    <xf numFmtId="4" fontId="18" fillId="7" borderId="11" xfId="0" applyNumberFormat="1" applyFont="1" applyFill="1" applyBorder="1" applyAlignment="1">
      <alignment horizontal="right" vertical="center"/>
    </xf>
    <xf numFmtId="4" fontId="18" fillId="7" borderId="21" xfId="0" applyNumberFormat="1" applyFont="1" applyFill="1" applyBorder="1" applyAlignment="1">
      <alignment horizontal="right" vertical="center"/>
    </xf>
    <xf numFmtId="4" fontId="18" fillId="4" borderId="11" xfId="0" applyNumberFormat="1" applyFont="1" applyFill="1" applyBorder="1" applyAlignment="1">
      <alignment horizontal="right"/>
    </xf>
    <xf numFmtId="4" fontId="18" fillId="4" borderId="21" xfId="0" applyNumberFormat="1" applyFont="1" applyFill="1" applyBorder="1" applyAlignment="1">
      <alignment horizontal="right"/>
    </xf>
    <xf numFmtId="10" fontId="17" fillId="4" borderId="22" xfId="2" applyNumberFormat="1" applyFont="1" applyFill="1" applyBorder="1"/>
    <xf numFmtId="10" fontId="17" fillId="4" borderId="19" xfId="2" applyNumberFormat="1" applyFont="1" applyFill="1" applyBorder="1"/>
    <xf numFmtId="4" fontId="18" fillId="2" borderId="19" xfId="0" applyNumberFormat="1" applyFont="1" applyFill="1" applyBorder="1"/>
    <xf numFmtId="4" fontId="15" fillId="5" borderId="15" xfId="0" applyNumberFormat="1" applyFont="1" applyFill="1" applyBorder="1"/>
    <xf numFmtId="4" fontId="17" fillId="4" borderId="20" xfId="0" applyNumberFormat="1" applyFont="1" applyFill="1" applyBorder="1"/>
    <xf numFmtId="4" fontId="17" fillId="4" borderId="21" xfId="0" applyNumberFormat="1" applyFont="1" applyFill="1" applyBorder="1"/>
    <xf numFmtId="168" fontId="12" fillId="2" borderId="0" xfId="0" applyNumberFormat="1" applyFont="1" applyFill="1"/>
    <xf numFmtId="166" fontId="12" fillId="4" borderId="22" xfId="0" applyNumberFormat="1" applyFont="1" applyFill="1" applyBorder="1"/>
    <xf numFmtId="166" fontId="12" fillId="4" borderId="19" xfId="0" applyNumberFormat="1" applyFont="1" applyFill="1" applyBorder="1"/>
    <xf numFmtId="9" fontId="12" fillId="2" borderId="19" xfId="2" applyFont="1" applyFill="1" applyBorder="1"/>
    <xf numFmtId="166" fontId="12" fillId="4" borderId="24" xfId="0" applyNumberFormat="1" applyFont="1" applyFill="1" applyBorder="1"/>
    <xf numFmtId="4" fontId="21" fillId="2" borderId="0" xfId="0" applyNumberFormat="1" applyFont="1" applyFill="1"/>
    <xf numFmtId="3" fontId="21" fillId="2" borderId="0" xfId="0" applyNumberFormat="1" applyFont="1" applyFill="1" applyBorder="1"/>
    <xf numFmtId="167" fontId="21" fillId="2" borderId="0" xfId="0" applyNumberFormat="1" applyFont="1" applyFill="1"/>
    <xf numFmtId="9" fontId="21" fillId="2" borderId="0" xfId="2" applyFont="1" applyFill="1" applyBorder="1"/>
    <xf numFmtId="3" fontId="21" fillId="2" borderId="0" xfId="0" applyNumberFormat="1" applyFont="1" applyFill="1"/>
    <xf numFmtId="4" fontId="22" fillId="2" borderId="0" xfId="0" applyNumberFormat="1" applyFont="1" applyFill="1" applyBorder="1"/>
    <xf numFmtId="4" fontId="22" fillId="2" borderId="0" xfId="0" applyNumberFormat="1" applyFont="1" applyFill="1" applyBorder="1" applyAlignment="1">
      <alignment horizontal="center"/>
    </xf>
    <xf numFmtId="3" fontId="22" fillId="2" borderId="0" xfId="0" applyNumberFormat="1" applyFont="1" applyFill="1" applyBorder="1"/>
    <xf numFmtId="4" fontId="21" fillId="2" borderId="14" xfId="0" applyNumberFormat="1" applyFont="1" applyFill="1" applyBorder="1"/>
    <xf numFmtId="3" fontId="21" fillId="2" borderId="22" xfId="0" applyNumberFormat="1" applyFont="1" applyFill="1" applyBorder="1"/>
    <xf numFmtId="4" fontId="21" fillId="2" borderId="22" xfId="0" applyNumberFormat="1" applyFont="1" applyFill="1" applyBorder="1"/>
    <xf numFmtId="4" fontId="21" fillId="2" borderId="15" xfId="0" applyNumberFormat="1" applyFont="1" applyFill="1" applyBorder="1"/>
    <xf numFmtId="4" fontId="21" fillId="2" borderId="1" xfId="0" applyNumberFormat="1" applyFont="1" applyFill="1" applyBorder="1"/>
    <xf numFmtId="10" fontId="21" fillId="2" borderId="1" xfId="2" applyNumberFormat="1" applyFont="1" applyFill="1" applyBorder="1"/>
    <xf numFmtId="4" fontId="21" fillId="2" borderId="19" xfId="0" applyNumberFormat="1" applyFont="1" applyFill="1" applyBorder="1"/>
    <xf numFmtId="167" fontId="12" fillId="2" borderId="22" xfId="0" applyNumberFormat="1" applyFont="1" applyFill="1" applyBorder="1"/>
    <xf numFmtId="4" fontId="21" fillId="8" borderId="20" xfId="0" applyNumberFormat="1" applyFont="1" applyFill="1" applyBorder="1"/>
    <xf numFmtId="4" fontId="22" fillId="8" borderId="11" xfId="0" applyNumberFormat="1" applyFont="1" applyFill="1" applyBorder="1" applyAlignment="1">
      <alignment horizontal="right"/>
    </xf>
    <xf numFmtId="4" fontId="22" fillId="8" borderId="21" xfId="0" applyNumberFormat="1" applyFont="1" applyFill="1" applyBorder="1" applyAlignment="1">
      <alignment horizontal="right"/>
    </xf>
    <xf numFmtId="3" fontId="11" fillId="5" borderId="23" xfId="0" applyNumberFormat="1" applyFont="1" applyFill="1" applyBorder="1"/>
    <xf numFmtId="3" fontId="15" fillId="5" borderId="13" xfId="0" applyNumberFormat="1" applyFont="1" applyFill="1" applyBorder="1"/>
    <xf numFmtId="3" fontId="15" fillId="5" borderId="24" xfId="0" applyNumberFormat="1" applyFont="1" applyFill="1" applyBorder="1"/>
    <xf numFmtId="3" fontId="21" fillId="2" borderId="14" xfId="0" applyNumberFormat="1" applyFont="1" applyFill="1" applyBorder="1"/>
    <xf numFmtId="3" fontId="22" fillId="7" borderId="20" xfId="0" applyNumberFormat="1" applyFont="1" applyFill="1" applyBorder="1"/>
    <xf numFmtId="3" fontId="22" fillId="7" borderId="11" xfId="0" applyNumberFormat="1" applyFont="1" applyFill="1" applyBorder="1" applyAlignment="1">
      <alignment horizontal="right"/>
    </xf>
    <xf numFmtId="3" fontId="22" fillId="7" borderId="21" xfId="0" applyNumberFormat="1" applyFont="1" applyFill="1" applyBorder="1" applyAlignment="1">
      <alignment horizontal="right"/>
    </xf>
    <xf numFmtId="3" fontId="22" fillId="6" borderId="20" xfId="0" applyNumberFormat="1" applyFont="1" applyFill="1" applyBorder="1"/>
    <xf numFmtId="3" fontId="22" fillId="6" borderId="11" xfId="0" applyNumberFormat="1" applyFont="1" applyFill="1" applyBorder="1"/>
    <xf numFmtId="3" fontId="22" fillId="6" borderId="21" xfId="0" applyNumberFormat="1" applyFont="1" applyFill="1" applyBorder="1"/>
    <xf numFmtId="3" fontId="11" fillId="5" borderId="20" xfId="0" applyNumberFormat="1" applyFont="1" applyFill="1" applyBorder="1"/>
    <xf numFmtId="3" fontId="11" fillId="5" borderId="11" xfId="0" applyNumberFormat="1" applyFont="1" applyFill="1" applyBorder="1" applyAlignment="1">
      <alignment horizontal="right"/>
    </xf>
    <xf numFmtId="3" fontId="11" fillId="5" borderId="21" xfId="0" applyNumberFormat="1" applyFont="1" applyFill="1" applyBorder="1" applyAlignment="1">
      <alignment horizontal="right"/>
    </xf>
    <xf numFmtId="4" fontId="22" fillId="6" borderId="20" xfId="0" applyNumberFormat="1" applyFont="1" applyFill="1" applyBorder="1"/>
    <xf numFmtId="4" fontId="12" fillId="6" borderId="15" xfId="0" applyNumberFormat="1" applyFont="1" applyFill="1" applyBorder="1" applyAlignment="1">
      <alignment horizontal="center"/>
    </xf>
    <xf numFmtId="4" fontId="12" fillId="6" borderId="19" xfId="0" applyNumberFormat="1" applyFont="1" applyFill="1" applyBorder="1" applyAlignment="1">
      <alignment horizontal="center"/>
    </xf>
    <xf numFmtId="4" fontId="12" fillId="4" borderId="20" xfId="0" applyNumberFormat="1" applyFont="1" applyFill="1" applyBorder="1" applyAlignment="1">
      <alignment horizontal="center"/>
    </xf>
    <xf numFmtId="4" fontId="12" fillId="4" borderId="21" xfId="0" applyNumberFormat="1" applyFont="1" applyFill="1" applyBorder="1" applyAlignment="1">
      <alignment horizontal="center"/>
    </xf>
    <xf numFmtId="10" fontId="12" fillId="4" borderId="24" xfId="2" applyNumberFormat="1" applyFont="1" applyFill="1" applyBorder="1" applyAlignment="1">
      <alignment horizontal="right"/>
    </xf>
    <xf numFmtId="4" fontId="21" fillId="2" borderId="21" xfId="0" applyNumberFormat="1" applyFont="1" applyFill="1" applyBorder="1"/>
    <xf numFmtId="3" fontId="11" fillId="5" borderId="24" xfId="0" applyNumberFormat="1" applyFont="1" applyFill="1" applyBorder="1"/>
    <xf numFmtId="4" fontId="21" fillId="6" borderId="12" xfId="0" applyNumberFormat="1" applyFont="1" applyFill="1" applyBorder="1"/>
    <xf numFmtId="4" fontId="11" fillId="5" borderId="20" xfId="0" applyNumberFormat="1" applyFont="1" applyFill="1" applyBorder="1" applyAlignment="1">
      <alignment horizontal="center"/>
    </xf>
    <xf numFmtId="4" fontId="11" fillId="5" borderId="11" xfId="0" applyNumberFormat="1" applyFont="1" applyFill="1" applyBorder="1" applyAlignment="1">
      <alignment horizontal="center"/>
    </xf>
    <xf numFmtId="4" fontId="11" fillId="5" borderId="21" xfId="0" applyNumberFormat="1" applyFont="1" applyFill="1" applyBorder="1" applyAlignment="1">
      <alignment horizontal="center"/>
    </xf>
    <xf numFmtId="4" fontId="12" fillId="2" borderId="0" xfId="0" applyNumberFormat="1" applyFont="1" applyFill="1" applyBorder="1" applyAlignment="1">
      <alignment horizontal="center"/>
    </xf>
    <xf numFmtId="4" fontId="12" fillId="2" borderId="11" xfId="0" applyNumberFormat="1" applyFont="1" applyFill="1" applyBorder="1"/>
    <xf numFmtId="4" fontId="13" fillId="2" borderId="12" xfId="0" applyNumberFormat="1" applyFont="1" applyFill="1" applyBorder="1"/>
    <xf numFmtId="4" fontId="12" fillId="6" borderId="16" xfId="0" applyNumberFormat="1" applyFont="1" applyFill="1" applyBorder="1"/>
    <xf numFmtId="166" fontId="13" fillId="6" borderId="12" xfId="0" applyNumberFormat="1" applyFont="1" applyFill="1" applyBorder="1"/>
    <xf numFmtId="4" fontId="12" fillId="2" borderId="16" xfId="0" applyNumberFormat="1" applyFont="1" applyFill="1" applyBorder="1" applyAlignment="1">
      <alignment vertical="center"/>
    </xf>
    <xf numFmtId="4" fontId="12" fillId="2" borderId="17" xfId="0" applyNumberFormat="1" applyFont="1" applyFill="1" applyBorder="1" applyAlignment="1">
      <alignment vertical="center"/>
    </xf>
    <xf numFmtId="4" fontId="12" fillId="2" borderId="18" xfId="0" applyNumberFormat="1" applyFont="1" applyFill="1" applyBorder="1" applyAlignment="1">
      <alignment vertical="center"/>
    </xf>
    <xf numFmtId="4" fontId="18" fillId="4" borderId="11" xfId="0" applyNumberFormat="1" applyFont="1" applyFill="1" applyBorder="1" applyAlignment="1">
      <alignment horizontal="left"/>
    </xf>
    <xf numFmtId="4" fontId="18" fillId="4" borderId="21" xfId="0" applyNumberFormat="1" applyFont="1" applyFill="1" applyBorder="1" applyAlignment="1">
      <alignment horizontal="left"/>
    </xf>
    <xf numFmtId="4" fontId="12" fillId="2" borderId="23" xfId="0" applyNumberFormat="1" applyFont="1" applyFill="1" applyBorder="1" applyAlignment="1">
      <alignment horizontal="center"/>
    </xf>
    <xf numFmtId="0" fontId="26" fillId="2" borderId="0" xfId="0" applyFont="1" applyFill="1" applyAlignment="1">
      <alignment vertical="center"/>
    </xf>
    <xf numFmtId="0" fontId="26" fillId="2" borderId="27" xfId="0" applyFont="1" applyFill="1" applyBorder="1" applyAlignment="1">
      <alignment vertical="center"/>
    </xf>
    <xf numFmtId="0" fontId="26" fillId="2" borderId="28" xfId="0" applyFont="1" applyFill="1" applyBorder="1" applyAlignment="1">
      <alignment vertical="center"/>
    </xf>
    <xf numFmtId="0" fontId="26" fillId="2" borderId="29" xfId="0" applyFont="1" applyFill="1" applyBorder="1" applyAlignment="1">
      <alignment vertical="center"/>
    </xf>
    <xf numFmtId="0" fontId="26" fillId="2" borderId="30" xfId="0" applyFont="1" applyFill="1" applyBorder="1" applyAlignment="1">
      <alignment vertical="center"/>
    </xf>
    <xf numFmtId="0" fontId="26" fillId="2" borderId="31" xfId="0" applyFont="1" applyFill="1" applyBorder="1" applyAlignment="1">
      <alignment vertical="center"/>
    </xf>
    <xf numFmtId="0" fontId="26" fillId="2" borderId="32" xfId="0" applyFont="1" applyFill="1" applyBorder="1" applyAlignment="1">
      <alignment vertical="center"/>
    </xf>
    <xf numFmtId="0" fontId="26" fillId="2" borderId="33" xfId="0" applyFont="1" applyFill="1" applyBorder="1" applyAlignment="1">
      <alignment vertical="center"/>
    </xf>
    <xf numFmtId="0" fontId="26" fillId="2" borderId="34" xfId="0" applyFont="1" applyFill="1" applyBorder="1" applyAlignment="1">
      <alignment vertical="center"/>
    </xf>
    <xf numFmtId="0" fontId="26" fillId="2" borderId="35" xfId="0" applyFont="1" applyFill="1" applyBorder="1" applyAlignment="1">
      <alignment vertical="center"/>
    </xf>
    <xf numFmtId="0" fontId="26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vertical="center"/>
    </xf>
    <xf numFmtId="0" fontId="26" fillId="2" borderId="37" xfId="0" applyFont="1" applyFill="1" applyBorder="1" applyAlignment="1">
      <alignment vertical="center"/>
    </xf>
    <xf numFmtId="0" fontId="26" fillId="2" borderId="5" xfId="0" applyFont="1" applyFill="1" applyBorder="1" applyAlignment="1">
      <alignment vertical="center"/>
    </xf>
    <xf numFmtId="0" fontId="26" fillId="2" borderId="6" xfId="0" applyFont="1" applyFill="1" applyBorder="1" applyAlignment="1">
      <alignment vertical="center"/>
    </xf>
    <xf numFmtId="0" fontId="26" fillId="2" borderId="38" xfId="0" applyFont="1" applyFill="1" applyBorder="1" applyAlignment="1">
      <alignment vertical="center"/>
    </xf>
    <xf numFmtId="0" fontId="26" fillId="2" borderId="10" xfId="0" applyFont="1" applyFill="1" applyBorder="1" applyAlignment="1">
      <alignment vertical="center"/>
    </xf>
    <xf numFmtId="0" fontId="26" fillId="2" borderId="40" xfId="0" applyFont="1" applyFill="1" applyBorder="1" applyAlignment="1">
      <alignment vertical="center"/>
    </xf>
    <xf numFmtId="0" fontId="26" fillId="2" borderId="41" xfId="0" applyFont="1" applyFill="1" applyBorder="1" applyAlignment="1">
      <alignment vertical="center"/>
    </xf>
    <xf numFmtId="0" fontId="26" fillId="2" borderId="0" xfId="0" quotePrefix="1" applyFont="1" applyFill="1" applyAlignment="1">
      <alignment vertical="center"/>
    </xf>
    <xf numFmtId="4" fontId="13" fillId="4" borderId="14" xfId="0" applyNumberFormat="1" applyFont="1" applyFill="1" applyBorder="1"/>
    <xf numFmtId="4" fontId="13" fillId="4" borderId="15" xfId="0" applyNumberFormat="1" applyFont="1" applyFill="1" applyBorder="1" applyAlignment="1">
      <alignment horizontal="left"/>
    </xf>
    <xf numFmtId="10" fontId="13" fillId="4" borderId="19" xfId="2" applyNumberFormat="1" applyFont="1" applyFill="1" applyBorder="1"/>
    <xf numFmtId="4" fontId="12" fillId="9" borderId="15" xfId="0" applyNumberFormat="1" applyFont="1" applyFill="1" applyBorder="1" applyAlignment="1">
      <alignment horizontal="center"/>
    </xf>
    <xf numFmtId="4" fontId="12" fillId="9" borderId="19" xfId="0" applyNumberFormat="1" applyFont="1" applyFill="1" applyBorder="1"/>
    <xf numFmtId="4" fontId="12" fillId="5" borderId="14" xfId="0" applyNumberFormat="1" applyFont="1" applyFill="1" applyBorder="1"/>
    <xf numFmtId="4" fontId="11" fillId="5" borderId="0" xfId="0" applyNumberFormat="1" applyFont="1" applyFill="1" applyBorder="1" applyAlignment="1">
      <alignment horizontal="right"/>
    </xf>
    <xf numFmtId="4" fontId="11" fillId="5" borderId="24" xfId="0" applyNumberFormat="1" applyFont="1" applyFill="1" applyBorder="1" applyAlignment="1">
      <alignment horizontal="right"/>
    </xf>
    <xf numFmtId="4" fontId="11" fillId="5" borderId="22" xfId="0" applyNumberFormat="1" applyFont="1" applyFill="1" applyBorder="1" applyAlignment="1">
      <alignment horizontal="right"/>
    </xf>
    <xf numFmtId="10" fontId="18" fillId="6" borderId="11" xfId="0" applyNumberFormat="1" applyFont="1" applyFill="1" applyBorder="1"/>
    <xf numFmtId="0" fontId="15" fillId="5" borderId="12" xfId="0" applyFont="1" applyFill="1" applyBorder="1" applyAlignment="1">
      <alignment horizontal="center"/>
    </xf>
    <xf numFmtId="4" fontId="18" fillId="9" borderId="22" xfId="0" applyNumberFormat="1" applyFont="1" applyFill="1" applyBorder="1" applyAlignment="1">
      <alignment horizontal="right"/>
    </xf>
    <xf numFmtId="4" fontId="21" fillId="9" borderId="12" xfId="0" applyNumberFormat="1" applyFont="1" applyFill="1" applyBorder="1"/>
    <xf numFmtId="0" fontId="2" fillId="4" borderId="0" xfId="3" applyFont="1" applyFill="1" applyBorder="1" applyAlignment="1">
      <alignment horizontal="left" vertical="center"/>
    </xf>
    <xf numFmtId="0" fontId="9" fillId="3" borderId="0" xfId="3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4" fontId="11" fillId="5" borderId="20" xfId="0" applyNumberFormat="1" applyFont="1" applyFill="1" applyBorder="1" applyAlignment="1">
      <alignment horizontal="center"/>
    </xf>
    <xf numFmtId="4" fontId="11" fillId="5" borderId="11" xfId="0" applyNumberFormat="1" applyFont="1" applyFill="1" applyBorder="1" applyAlignment="1">
      <alignment horizontal="center"/>
    </xf>
    <xf numFmtId="4" fontId="11" fillId="5" borderId="21" xfId="0" applyNumberFormat="1" applyFont="1" applyFill="1" applyBorder="1" applyAlignment="1">
      <alignment horizontal="center"/>
    </xf>
    <xf numFmtId="4" fontId="11" fillId="3" borderId="0" xfId="0" applyNumberFormat="1" applyFont="1" applyFill="1" applyAlignment="1">
      <alignment horizontal="center" vertical="center"/>
    </xf>
    <xf numFmtId="9" fontId="17" fillId="2" borderId="0" xfId="2" applyFont="1" applyFill="1" applyBorder="1" applyAlignment="1">
      <alignment horizontal="center"/>
    </xf>
    <xf numFmtId="9" fontId="17" fillId="2" borderId="22" xfId="2" applyFont="1" applyFill="1" applyBorder="1" applyAlignment="1">
      <alignment horizontal="center"/>
    </xf>
    <xf numFmtId="4" fontId="11" fillId="5" borderId="23" xfId="0" applyNumberFormat="1" applyFont="1" applyFill="1" applyBorder="1" applyAlignment="1">
      <alignment horizontal="center" vertical="center"/>
    </xf>
    <xf numFmtId="4" fontId="11" fillId="5" borderId="13" xfId="0" applyNumberFormat="1" applyFont="1" applyFill="1" applyBorder="1" applyAlignment="1">
      <alignment horizontal="center" vertical="center"/>
    </xf>
    <xf numFmtId="4" fontId="11" fillId="5" borderId="24" xfId="0" applyNumberFormat="1" applyFont="1" applyFill="1" applyBorder="1" applyAlignment="1">
      <alignment horizontal="center" vertical="center"/>
    </xf>
    <xf numFmtId="4" fontId="11" fillId="5" borderId="14" xfId="0" applyNumberFormat="1" applyFont="1" applyFill="1" applyBorder="1" applyAlignment="1">
      <alignment horizontal="center" vertical="center"/>
    </xf>
    <xf numFmtId="4" fontId="11" fillId="5" borderId="0" xfId="0" applyNumberFormat="1" applyFont="1" applyFill="1" applyBorder="1" applyAlignment="1">
      <alignment horizontal="center" vertical="center"/>
    </xf>
    <xf numFmtId="4" fontId="11" fillId="5" borderId="22" xfId="0" applyNumberFormat="1" applyFont="1" applyFill="1" applyBorder="1" applyAlignment="1">
      <alignment horizontal="center" vertical="center"/>
    </xf>
    <xf numFmtId="4" fontId="17" fillId="2" borderId="0" xfId="2" applyNumberFormat="1" applyFont="1" applyFill="1" applyBorder="1" applyAlignment="1">
      <alignment horizontal="center"/>
    </xf>
    <xf numFmtId="4" fontId="17" fillId="2" borderId="22" xfId="2" applyNumberFormat="1" applyFont="1" applyFill="1" applyBorder="1" applyAlignment="1">
      <alignment horizontal="center"/>
    </xf>
    <xf numFmtId="4" fontId="15" fillId="3" borderId="0" xfId="0" applyNumberFormat="1" applyFont="1" applyFill="1" applyAlignment="1">
      <alignment horizontal="center" vertical="center"/>
    </xf>
    <xf numFmtId="166" fontId="11" fillId="3" borderId="0" xfId="0" applyNumberFormat="1" applyFont="1" applyFill="1" applyAlignment="1">
      <alignment horizontal="center" vertical="center"/>
    </xf>
    <xf numFmtId="166" fontId="11" fillId="5" borderId="23" xfId="0" applyNumberFormat="1" applyFont="1" applyFill="1" applyBorder="1" applyAlignment="1">
      <alignment horizontal="center" vertical="center"/>
    </xf>
    <xf numFmtId="166" fontId="11" fillId="5" borderId="13" xfId="0" applyNumberFormat="1" applyFont="1" applyFill="1" applyBorder="1" applyAlignment="1">
      <alignment horizontal="center" vertical="center"/>
    </xf>
    <xf numFmtId="166" fontId="11" fillId="5" borderId="24" xfId="0" applyNumberFormat="1" applyFont="1" applyFill="1" applyBorder="1" applyAlignment="1">
      <alignment horizontal="center" vertical="center"/>
    </xf>
    <xf numFmtId="166" fontId="11" fillId="5" borderId="15" xfId="0" applyNumberFormat="1" applyFont="1" applyFill="1" applyBorder="1" applyAlignment="1">
      <alignment horizontal="center" vertical="center"/>
    </xf>
    <xf numFmtId="166" fontId="11" fillId="5" borderId="1" xfId="0" applyNumberFormat="1" applyFont="1" applyFill="1" applyBorder="1" applyAlignment="1">
      <alignment horizontal="center" vertical="center"/>
    </xf>
    <xf numFmtId="166" fontId="11" fillId="5" borderId="19" xfId="0" applyNumberFormat="1" applyFont="1" applyFill="1" applyBorder="1" applyAlignment="1">
      <alignment horizontal="center" vertical="center"/>
    </xf>
    <xf numFmtId="4" fontId="11" fillId="5" borderId="15" xfId="0" applyNumberFormat="1" applyFont="1" applyFill="1" applyBorder="1" applyAlignment="1">
      <alignment horizontal="center" vertical="center"/>
    </xf>
    <xf numFmtId="4" fontId="11" fillId="5" borderId="1" xfId="0" applyNumberFormat="1" applyFont="1" applyFill="1" applyBorder="1" applyAlignment="1">
      <alignment horizontal="center" vertical="center"/>
    </xf>
    <xf numFmtId="4" fontId="11" fillId="5" borderId="19" xfId="0" applyNumberFormat="1" applyFont="1" applyFill="1" applyBorder="1" applyAlignment="1">
      <alignment horizontal="center" vertical="center"/>
    </xf>
    <xf numFmtId="4" fontId="12" fillId="6" borderId="13" xfId="0" applyNumberFormat="1" applyFont="1" applyFill="1" applyBorder="1" applyAlignment="1">
      <alignment horizontal="center" vertical="center"/>
    </xf>
    <xf numFmtId="4" fontId="12" fillId="6" borderId="0" xfId="0" applyNumberFormat="1" applyFont="1" applyFill="1" applyBorder="1" applyAlignment="1">
      <alignment horizontal="center" vertical="center"/>
    </xf>
    <xf numFmtId="9" fontId="12" fillId="6" borderId="24" xfId="2" applyFont="1" applyFill="1" applyBorder="1" applyAlignment="1">
      <alignment horizontal="center" vertical="center"/>
    </xf>
    <xf numFmtId="9" fontId="12" fillId="6" borderId="22" xfId="2" applyFont="1" applyFill="1" applyBorder="1" applyAlignment="1">
      <alignment horizontal="center" vertical="center"/>
    </xf>
    <xf numFmtId="166" fontId="11" fillId="5" borderId="14" xfId="0" applyNumberFormat="1" applyFont="1" applyFill="1" applyBorder="1" applyAlignment="1">
      <alignment horizontal="center" vertical="center"/>
    </xf>
    <xf numFmtId="166" fontId="11" fillId="5" borderId="0" xfId="0" applyNumberFormat="1" applyFont="1" applyFill="1" applyBorder="1" applyAlignment="1">
      <alignment horizontal="center" vertical="center"/>
    </xf>
    <xf numFmtId="166" fontId="11" fillId="5" borderId="22" xfId="0" applyNumberFormat="1" applyFont="1" applyFill="1" applyBorder="1" applyAlignment="1">
      <alignment horizontal="center" vertical="center"/>
    </xf>
    <xf numFmtId="9" fontId="21" fillId="2" borderId="0" xfId="2" applyNumberFormat="1" applyFont="1" applyFill="1" applyBorder="1" applyAlignment="1">
      <alignment horizontal="center"/>
    </xf>
    <xf numFmtId="9" fontId="21" fillId="2" borderId="22" xfId="2" applyNumberFormat="1" applyFont="1" applyFill="1" applyBorder="1" applyAlignment="1">
      <alignment horizontal="center"/>
    </xf>
    <xf numFmtId="4" fontId="21" fillId="2" borderId="0" xfId="0" applyNumberFormat="1" applyFont="1" applyFill="1" applyBorder="1" applyAlignment="1">
      <alignment horizontal="center"/>
    </xf>
    <xf numFmtId="4" fontId="21" fillId="2" borderId="22" xfId="0" applyNumberFormat="1" applyFont="1" applyFill="1" applyBorder="1" applyAlignment="1">
      <alignment horizontal="center"/>
    </xf>
    <xf numFmtId="9" fontId="21" fillId="2" borderId="0" xfId="2" applyFont="1" applyFill="1" applyBorder="1" applyAlignment="1">
      <alignment horizontal="center"/>
    </xf>
    <xf numFmtId="9" fontId="21" fillId="2" borderId="22" xfId="2" applyFont="1" applyFill="1" applyBorder="1" applyAlignment="1">
      <alignment horizontal="center"/>
    </xf>
    <xf numFmtId="4" fontId="17" fillId="2" borderId="0" xfId="0" applyNumberFormat="1" applyFont="1" applyFill="1" applyBorder="1" applyAlignment="1">
      <alignment horizontal="center"/>
    </xf>
    <xf numFmtId="4" fontId="17" fillId="2" borderId="8" xfId="0" applyNumberFormat="1" applyFont="1" applyFill="1" applyBorder="1" applyAlignment="1">
      <alignment horizontal="center"/>
    </xf>
    <xf numFmtId="9" fontId="17" fillId="2" borderId="8" xfId="2" applyFont="1" applyFill="1" applyBorder="1" applyAlignment="1">
      <alignment horizontal="center"/>
    </xf>
    <xf numFmtId="4" fontId="11" fillId="5" borderId="3" xfId="0" applyNumberFormat="1" applyFont="1" applyFill="1" applyBorder="1" applyAlignment="1">
      <alignment horizontal="center" vertical="center"/>
    </xf>
    <xf numFmtId="4" fontId="11" fillId="5" borderId="9" xfId="0" applyNumberFormat="1" applyFont="1" applyFill="1" applyBorder="1" applyAlignment="1">
      <alignment horizontal="center" vertical="center"/>
    </xf>
    <xf numFmtId="4" fontId="11" fillId="5" borderId="4" xfId="0" applyNumberFormat="1" applyFont="1" applyFill="1" applyBorder="1" applyAlignment="1">
      <alignment horizontal="center" vertical="center"/>
    </xf>
    <xf numFmtId="4" fontId="11" fillId="5" borderId="7" xfId="0" applyNumberFormat="1" applyFont="1" applyFill="1" applyBorder="1" applyAlignment="1">
      <alignment horizontal="center" vertical="center"/>
    </xf>
    <xf numFmtId="4" fontId="11" fillId="5" borderId="8" xfId="0" applyNumberFormat="1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10" fontId="26" fillId="2" borderId="5" xfId="0" applyNumberFormat="1" applyFont="1" applyFill="1" applyBorder="1" applyAlignment="1">
      <alignment horizontal="center" vertical="center"/>
    </xf>
    <xf numFmtId="10" fontId="26" fillId="2" borderId="6" xfId="0" applyNumberFormat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10" fontId="26" fillId="2" borderId="7" xfId="0" applyNumberFormat="1" applyFont="1" applyFill="1" applyBorder="1" applyAlignment="1">
      <alignment horizontal="center" vertical="center"/>
    </xf>
    <xf numFmtId="10" fontId="26" fillId="2" borderId="8" xfId="0" applyNumberFormat="1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10" fontId="26" fillId="2" borderId="39" xfId="0" applyNumberFormat="1" applyFont="1" applyFill="1" applyBorder="1" applyAlignment="1">
      <alignment horizontal="center" vertical="center"/>
    </xf>
    <xf numFmtId="10" fontId="26" fillId="2" borderId="10" xfId="0" applyNumberFormat="1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6" fillId="2" borderId="36" xfId="0" applyFont="1" applyFill="1" applyBorder="1" applyAlignment="1">
      <alignment horizontal="center" vertical="center"/>
    </xf>
    <xf numFmtId="0" fontId="26" fillId="2" borderId="38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10" fontId="26" fillId="2" borderId="0" xfId="0" applyNumberFormat="1" applyFont="1" applyFill="1" applyBorder="1" applyAlignment="1">
      <alignment horizontal="center" vertical="center"/>
    </xf>
    <xf numFmtId="0" fontId="26" fillId="2" borderId="37" xfId="0" applyFont="1" applyFill="1" applyBorder="1" applyAlignment="1">
      <alignment horizontal="center" vertical="center"/>
    </xf>
    <xf numFmtId="10" fontId="26" fillId="2" borderId="30" xfId="0" applyNumberFormat="1" applyFont="1" applyFill="1" applyBorder="1" applyAlignment="1">
      <alignment horizontal="center" vertical="center"/>
    </xf>
    <xf numFmtId="0" fontId="26" fillId="2" borderId="32" xfId="0" applyFont="1" applyFill="1" applyBorder="1" applyAlignment="1">
      <alignment horizontal="center" vertical="center"/>
    </xf>
    <xf numFmtId="10" fontId="21" fillId="2" borderId="0" xfId="2" applyNumberFormat="1" applyFont="1" applyFill="1" applyBorder="1" applyAlignment="1">
      <alignment horizontal="center"/>
    </xf>
    <xf numFmtId="10" fontId="21" fillId="2" borderId="22" xfId="2" applyNumberFormat="1" applyFont="1" applyFill="1" applyBorder="1" applyAlignment="1">
      <alignment horizontal="center"/>
    </xf>
    <xf numFmtId="4" fontId="11" fillId="5" borderId="16" xfId="0" applyNumberFormat="1" applyFont="1" applyFill="1" applyBorder="1" applyAlignment="1">
      <alignment horizontal="center" vertical="center"/>
    </xf>
    <xf numFmtId="4" fontId="11" fillId="5" borderId="17" xfId="0" applyNumberFormat="1" applyFont="1" applyFill="1" applyBorder="1" applyAlignment="1">
      <alignment horizontal="center" vertical="center"/>
    </xf>
    <xf numFmtId="4" fontId="11" fillId="5" borderId="18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center"/>
    </xf>
    <xf numFmtId="4" fontId="12" fillId="2" borderId="22" xfId="0" applyNumberFormat="1" applyFont="1" applyFill="1" applyBorder="1" applyAlignment="1">
      <alignment horizontal="center"/>
    </xf>
    <xf numFmtId="9" fontId="12" fillId="2" borderId="0" xfId="2" applyFont="1" applyFill="1" applyBorder="1" applyAlignment="1">
      <alignment horizontal="center"/>
    </xf>
    <xf numFmtId="9" fontId="12" fillId="2" borderId="22" xfId="2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1" fillId="3" borderId="0" xfId="0" applyFont="1" applyFill="1" applyAlignment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</xdr:colOff>
      <xdr:row>0</xdr:row>
      <xdr:rowOff>21518</xdr:rowOff>
    </xdr:from>
    <xdr:to>
      <xdr:col>3</xdr:col>
      <xdr:colOff>259080</xdr:colOff>
      <xdr:row>2</xdr:row>
      <xdr:rowOff>172211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4EDAD5-6BC0-4491-B5D6-B3DB66C43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099" y="21518"/>
          <a:ext cx="2057401" cy="51645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11</xdr:row>
      <xdr:rowOff>4762</xdr:rowOff>
    </xdr:from>
    <xdr:ext cx="12061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1000-000003000000}"/>
                </a:ext>
              </a:extLst>
            </xdr:cNvPr>
            <xdr:cNvSpPr txBox="1"/>
          </xdr:nvSpPr>
          <xdr:spPr>
            <a:xfrm>
              <a:off x="800100" y="1652587"/>
              <a:ext cx="12061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𝑔</m:t>
                        </m:r>
                      </m:e>
                    </m:acc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3DB61ECA-A5CE-4676-9E76-06DFDA704AC7}"/>
                </a:ext>
              </a:extLst>
            </xdr:cNvPr>
            <xdr:cNvSpPr txBox="1"/>
          </xdr:nvSpPr>
          <xdr:spPr>
            <a:xfrm>
              <a:off x="800100" y="1652587"/>
              <a:ext cx="12061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𝑔 ̂</a:t>
              </a:r>
              <a:endParaRPr lang="es-PE" sz="1100"/>
            </a:p>
          </xdr:txBody>
        </xdr:sp>
      </mc:Fallback>
    </mc:AlternateContent>
    <xdr:clientData/>
  </xdr:oneCellAnchor>
  <xdr:twoCellAnchor>
    <xdr:from>
      <xdr:col>0</xdr:col>
      <xdr:colOff>114300</xdr:colOff>
      <xdr:row>1</xdr:row>
      <xdr:rowOff>144780</xdr:rowOff>
    </xdr:from>
    <xdr:to>
      <xdr:col>0</xdr:col>
      <xdr:colOff>1104900</xdr:colOff>
      <xdr:row>3</xdr:row>
      <xdr:rowOff>76200</xdr:rowOff>
    </xdr:to>
    <xdr:sp macro="" textlink="">
      <xdr:nvSpPr>
        <xdr:cNvPr id="5" name="Rectángulo: esquinas redondeada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97B13E-4DA5-4E98-A03D-5E631F3D7C51}"/>
            </a:ext>
          </a:extLst>
        </xdr:cNvPr>
        <xdr:cNvSpPr/>
      </xdr:nvSpPr>
      <xdr:spPr>
        <a:xfrm>
          <a:off x="114300" y="396240"/>
          <a:ext cx="990600" cy="28956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326859</xdr:colOff>
      <xdr:row>1</xdr:row>
      <xdr:rowOff>125691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F8B5782-31AE-4290-9550-E6B020594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00339" cy="37715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12</xdr:row>
      <xdr:rowOff>4762</xdr:rowOff>
    </xdr:from>
    <xdr:ext cx="178703" cy="1831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00000000-0008-0000-1100-000007000000}"/>
                </a:ext>
              </a:extLst>
            </xdr:cNvPr>
            <xdr:cNvSpPr txBox="1"/>
          </xdr:nvSpPr>
          <xdr:spPr>
            <a:xfrm>
              <a:off x="352425" y="1709737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𝜇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00000000-0008-0000-0C00-000007000000}"/>
                </a:ext>
              </a:extLst>
            </xdr:cNvPr>
            <xdr:cNvSpPr txBox="1"/>
          </xdr:nvSpPr>
          <xdr:spPr>
            <a:xfrm>
              <a:off x="352425" y="1709737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𝛽_𝜇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2</xdr:col>
      <xdr:colOff>38100</xdr:colOff>
      <xdr:row>8</xdr:row>
      <xdr:rowOff>4762</xdr:rowOff>
    </xdr:from>
    <xdr:ext cx="12061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00000000-0008-0000-1100-00000A000000}"/>
                </a:ext>
              </a:extLst>
            </xdr:cNvPr>
            <xdr:cNvSpPr txBox="1"/>
          </xdr:nvSpPr>
          <xdr:spPr>
            <a:xfrm>
              <a:off x="371475" y="5176837"/>
              <a:ext cx="12061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𝑔</m:t>
                        </m:r>
                      </m:e>
                    </m:acc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6D2FE441-BC7D-4B20-B225-CB9D1BC084F4}"/>
                </a:ext>
              </a:extLst>
            </xdr:cNvPr>
            <xdr:cNvSpPr txBox="1"/>
          </xdr:nvSpPr>
          <xdr:spPr>
            <a:xfrm>
              <a:off x="371475" y="5176837"/>
              <a:ext cx="12061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𝑔 ̂</a:t>
              </a:r>
              <a:endParaRPr lang="es-PE" sz="1100"/>
            </a:p>
          </xdr:txBody>
        </xdr:sp>
      </mc:Fallback>
    </mc:AlternateContent>
    <xdr:clientData/>
  </xdr:oneCellAnchor>
  <xdr:twoCellAnchor>
    <xdr:from>
      <xdr:col>0</xdr:col>
      <xdr:colOff>137160</xdr:colOff>
      <xdr:row>1</xdr:row>
      <xdr:rowOff>152400</xdr:rowOff>
    </xdr:from>
    <xdr:to>
      <xdr:col>0</xdr:col>
      <xdr:colOff>1127760</xdr:colOff>
      <xdr:row>3</xdr:row>
      <xdr:rowOff>76200</xdr:rowOff>
    </xdr:to>
    <xdr:sp macro="" textlink="">
      <xdr:nvSpPr>
        <xdr:cNvPr id="9" name="Rectángulo: esquinas redondeadas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02F814-0335-441E-8676-23B357F6B77D}"/>
            </a:ext>
          </a:extLst>
        </xdr:cNvPr>
        <xdr:cNvSpPr/>
      </xdr:nvSpPr>
      <xdr:spPr>
        <a:xfrm>
          <a:off x="137160" y="403860"/>
          <a:ext cx="990600" cy="28194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90639</xdr:colOff>
      <xdr:row>1</xdr:row>
      <xdr:rowOff>125691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50D999C-8985-4325-85D4-A361CC6E8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00339" cy="37715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30</xdr:row>
      <xdr:rowOff>30479</xdr:rowOff>
    </xdr:from>
    <xdr:to>
      <xdr:col>8</xdr:col>
      <xdr:colOff>180975</xdr:colOff>
      <xdr:row>30</xdr:row>
      <xdr:rowOff>142874</xdr:rowOff>
    </xdr:to>
    <xdr:sp macro="" textlink="">
      <xdr:nvSpPr>
        <xdr:cNvPr id="2" name="1 Conector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 flipV="1">
          <a:off x="4743450" y="840104"/>
          <a:ext cx="133350" cy="112395"/>
        </a:xfrm>
        <a:prstGeom prst="flowChartConnector">
          <a:avLst/>
        </a:prstGeom>
        <a:solidFill>
          <a:sysClr val="window" lastClr="FFFFFF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PE" sz="1100"/>
        </a:p>
      </xdr:txBody>
    </xdr:sp>
    <xdr:clientData/>
  </xdr:twoCellAnchor>
  <xdr:twoCellAnchor>
    <xdr:from>
      <xdr:col>8</xdr:col>
      <xdr:colOff>180975</xdr:colOff>
      <xdr:row>28</xdr:row>
      <xdr:rowOff>95250</xdr:rowOff>
    </xdr:from>
    <xdr:to>
      <xdr:col>10</xdr:col>
      <xdr:colOff>0</xdr:colOff>
      <xdr:row>30</xdr:row>
      <xdr:rowOff>86676</xdr:rowOff>
    </xdr:to>
    <xdr:cxnSp macro="">
      <xdr:nvCxnSpPr>
        <xdr:cNvPr id="3" name="3 Conector rect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>
          <a:stCxn id="2" idx="6"/>
        </xdr:cNvCxnSpPr>
      </xdr:nvCxnSpPr>
      <xdr:spPr>
        <a:xfrm flipV="1">
          <a:off x="4876800" y="581025"/>
          <a:ext cx="628650" cy="3152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173355</xdr:colOff>
      <xdr:row>30</xdr:row>
      <xdr:rowOff>109536</xdr:rowOff>
    </xdr:from>
    <xdr:to>
      <xdr:col>10</xdr:col>
      <xdr:colOff>11430</xdr:colOff>
      <xdr:row>30</xdr:row>
      <xdr:rowOff>118110</xdr:rowOff>
    </xdr:to>
    <xdr:cxnSp macro="">
      <xdr:nvCxnSpPr>
        <xdr:cNvPr id="4" name="5 Conector recto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CxnSpPr/>
      </xdr:nvCxnSpPr>
      <xdr:spPr>
        <a:xfrm>
          <a:off x="7084695" y="5504496"/>
          <a:ext cx="676275" cy="85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161446</xdr:colOff>
      <xdr:row>30</xdr:row>
      <xdr:rowOff>126414</xdr:rowOff>
    </xdr:from>
    <xdr:to>
      <xdr:col>10</xdr:col>
      <xdr:colOff>38100</xdr:colOff>
      <xdr:row>32</xdr:row>
      <xdr:rowOff>104775</xdr:rowOff>
    </xdr:to>
    <xdr:cxnSp macro="">
      <xdr:nvCxnSpPr>
        <xdr:cNvPr id="5" name="7 Conector recto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>
          <a:stCxn id="2" idx="7"/>
        </xdr:cNvCxnSpPr>
      </xdr:nvCxnSpPr>
      <xdr:spPr>
        <a:xfrm>
          <a:off x="4857271" y="936039"/>
          <a:ext cx="686279" cy="3022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30</xdr:row>
      <xdr:rowOff>85725</xdr:rowOff>
    </xdr:from>
    <xdr:to>
      <xdr:col>5</xdr:col>
      <xdr:colOff>9525</xdr:colOff>
      <xdr:row>33</xdr:row>
      <xdr:rowOff>76200</xdr:rowOff>
    </xdr:to>
    <xdr:cxnSp macro="">
      <xdr:nvCxnSpPr>
        <xdr:cNvPr id="6" name="11 Conector recto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/>
      </xdr:nvCxnSpPr>
      <xdr:spPr>
        <a:xfrm flipV="1">
          <a:off x="1695450" y="895350"/>
          <a:ext cx="714375" cy="476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33</xdr:row>
      <xdr:rowOff>114300</xdr:rowOff>
    </xdr:from>
    <xdr:to>
      <xdr:col>5</xdr:col>
      <xdr:colOff>28575</xdr:colOff>
      <xdr:row>37</xdr:row>
      <xdr:rowOff>133350</xdr:rowOff>
    </xdr:to>
    <xdr:cxnSp macro="">
      <xdr:nvCxnSpPr>
        <xdr:cNvPr id="7" name="13 Conector recto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CxnSpPr/>
      </xdr:nvCxnSpPr>
      <xdr:spPr>
        <a:xfrm>
          <a:off x="1695450" y="1409700"/>
          <a:ext cx="733425" cy="666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594360</xdr:colOff>
      <xdr:row>46</xdr:row>
      <xdr:rowOff>49530</xdr:rowOff>
    </xdr:from>
    <xdr:to>
      <xdr:col>7</xdr:col>
      <xdr:colOff>1904</xdr:colOff>
      <xdr:row>48</xdr:row>
      <xdr:rowOff>40005</xdr:rowOff>
    </xdr:to>
    <xdr:sp macro="" textlink="">
      <xdr:nvSpPr>
        <xdr:cNvPr id="8" name="8 Abrir corchete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SpPr/>
      </xdr:nvSpPr>
      <xdr:spPr>
        <a:xfrm>
          <a:off x="5836920" y="8081010"/>
          <a:ext cx="62864" cy="38671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PE" sz="1100"/>
        </a:p>
      </xdr:txBody>
    </xdr:sp>
    <xdr:clientData/>
  </xdr:twoCellAnchor>
  <xdr:twoCellAnchor>
    <xdr:from>
      <xdr:col>9</xdr:col>
      <xdr:colOff>537210</xdr:colOff>
      <xdr:row>46</xdr:row>
      <xdr:rowOff>45720</xdr:rowOff>
    </xdr:from>
    <xdr:to>
      <xdr:col>9</xdr:col>
      <xdr:colOff>575310</xdr:colOff>
      <xdr:row>48</xdr:row>
      <xdr:rowOff>55245</xdr:rowOff>
    </xdr:to>
    <xdr:sp macro="" textlink="">
      <xdr:nvSpPr>
        <xdr:cNvPr id="9" name="9 Cerrar corchete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/>
      </xdr:nvSpPr>
      <xdr:spPr>
        <a:xfrm>
          <a:off x="7547610" y="8077200"/>
          <a:ext cx="38100" cy="40576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PE" sz="1100"/>
        </a:p>
      </xdr:txBody>
    </xdr:sp>
    <xdr:clientData/>
  </xdr:twoCellAnchor>
  <xdr:oneCellAnchor>
    <xdr:from>
      <xdr:col>4</xdr:col>
      <xdr:colOff>57150</xdr:colOff>
      <xdr:row>13</xdr:row>
      <xdr:rowOff>152400</xdr:rowOff>
    </xdr:from>
    <xdr:ext cx="178703" cy="1831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00000000-0008-0000-1300-00000B000000}"/>
                </a:ext>
              </a:extLst>
            </xdr:cNvPr>
            <xdr:cNvSpPr txBox="1"/>
          </xdr:nvSpPr>
          <xdr:spPr>
            <a:xfrm>
              <a:off x="1724025" y="2114550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𝜇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00000000-0008-0000-0D00-00000B000000}"/>
                </a:ext>
              </a:extLst>
            </xdr:cNvPr>
            <xdr:cNvSpPr txBox="1"/>
          </xdr:nvSpPr>
          <xdr:spPr>
            <a:xfrm>
              <a:off x="1724025" y="2114550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𝛽_𝜇</a:t>
              </a:r>
              <a:endParaRPr lang="es-PE" sz="1100"/>
            </a:p>
          </xdr:txBody>
        </xdr:sp>
      </mc:Fallback>
    </mc:AlternateContent>
    <xdr:clientData/>
  </xdr:oneCellAnchor>
  <xdr:twoCellAnchor>
    <xdr:from>
      <xdr:col>0</xdr:col>
      <xdr:colOff>167640</xdr:colOff>
      <xdr:row>1</xdr:row>
      <xdr:rowOff>152400</xdr:rowOff>
    </xdr:from>
    <xdr:to>
      <xdr:col>0</xdr:col>
      <xdr:colOff>1158240</xdr:colOff>
      <xdr:row>3</xdr:row>
      <xdr:rowOff>76200</xdr:rowOff>
    </xdr:to>
    <xdr:sp macro="" textlink="">
      <xdr:nvSpPr>
        <xdr:cNvPr id="15" name="Rectángulo: esquinas redondeadas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34ABC6-7CA4-4866-8F9D-9D8FF4FAFD27}"/>
            </a:ext>
          </a:extLst>
        </xdr:cNvPr>
        <xdr:cNvSpPr/>
      </xdr:nvSpPr>
      <xdr:spPr>
        <a:xfrm>
          <a:off x="167640" y="403860"/>
          <a:ext cx="990600" cy="28194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30480</xdr:colOff>
      <xdr:row>0</xdr:row>
      <xdr:rowOff>0</xdr:rowOff>
    </xdr:from>
    <xdr:to>
      <xdr:col>1</xdr:col>
      <xdr:colOff>22059</xdr:colOff>
      <xdr:row>1</xdr:row>
      <xdr:rowOff>125691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A477C7ED-97B4-499B-9642-F07524260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80" y="0"/>
          <a:ext cx="1500339" cy="37715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13</xdr:row>
      <xdr:rowOff>4762</xdr:rowOff>
    </xdr:from>
    <xdr:ext cx="12061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1400-000004000000}"/>
                </a:ext>
              </a:extLst>
            </xdr:cNvPr>
            <xdr:cNvSpPr txBox="1"/>
          </xdr:nvSpPr>
          <xdr:spPr>
            <a:xfrm>
              <a:off x="561975" y="1462087"/>
              <a:ext cx="12061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𝑔</m:t>
                        </m:r>
                      </m:e>
                    </m:acc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E00-000004000000}"/>
                </a:ext>
              </a:extLst>
            </xdr:cNvPr>
            <xdr:cNvSpPr txBox="1"/>
          </xdr:nvSpPr>
          <xdr:spPr>
            <a:xfrm>
              <a:off x="561975" y="1462087"/>
              <a:ext cx="12061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𝑔 ̂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2</xdr:col>
      <xdr:colOff>114300</xdr:colOff>
      <xdr:row>22</xdr:row>
      <xdr:rowOff>23812</xdr:rowOff>
    </xdr:from>
    <xdr:ext cx="17312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0000000-0008-0000-1400-000005000000}"/>
                </a:ext>
              </a:extLst>
            </xdr:cNvPr>
            <xdr:cNvSpPr txBox="1"/>
          </xdr:nvSpPr>
          <xdr:spPr>
            <a:xfrm>
              <a:off x="1905000" y="4148137"/>
              <a:ext cx="17312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𝑒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0000000-0008-0000-1400-000005000000}"/>
                </a:ext>
              </a:extLst>
            </xdr:cNvPr>
            <xdr:cNvSpPr txBox="1"/>
          </xdr:nvSpPr>
          <xdr:spPr>
            <a:xfrm>
              <a:off x="1905000" y="4148137"/>
              <a:ext cx="17312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𝛽_𝑒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2</xdr:col>
      <xdr:colOff>569595</xdr:colOff>
      <xdr:row>26</xdr:row>
      <xdr:rowOff>172402</xdr:rowOff>
    </xdr:from>
    <xdr:ext cx="178703" cy="1831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1400-000006000000}"/>
                </a:ext>
              </a:extLst>
            </xdr:cNvPr>
            <xdr:cNvSpPr txBox="1"/>
          </xdr:nvSpPr>
          <xdr:spPr>
            <a:xfrm>
              <a:off x="2413635" y="4873942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𝜇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1400-000006000000}"/>
                </a:ext>
              </a:extLst>
            </xdr:cNvPr>
            <xdr:cNvSpPr txBox="1"/>
          </xdr:nvSpPr>
          <xdr:spPr>
            <a:xfrm>
              <a:off x="2413635" y="4873942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𝛽_𝜇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8</xdr:col>
      <xdr:colOff>57150</xdr:colOff>
      <xdr:row>21</xdr:row>
      <xdr:rowOff>157162</xdr:rowOff>
    </xdr:from>
    <xdr:ext cx="65" cy="17222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SpPr txBox="1"/>
      </xdr:nvSpPr>
      <xdr:spPr>
        <a:xfrm>
          <a:off x="5562600" y="34813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PE" sz="1100"/>
        </a:p>
      </xdr:txBody>
    </xdr:sp>
    <xdr:clientData/>
  </xdr:oneCellAnchor>
  <xdr:twoCellAnchor>
    <xdr:from>
      <xdr:col>0</xdr:col>
      <xdr:colOff>137160</xdr:colOff>
      <xdr:row>1</xdr:row>
      <xdr:rowOff>160020</xdr:rowOff>
    </xdr:from>
    <xdr:to>
      <xdr:col>0</xdr:col>
      <xdr:colOff>1127760</xdr:colOff>
      <xdr:row>3</xdr:row>
      <xdr:rowOff>91440</xdr:rowOff>
    </xdr:to>
    <xdr:sp macro="" textlink="">
      <xdr:nvSpPr>
        <xdr:cNvPr id="12" name="Rectángulo: esquinas redondeadas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2DA7FC-64E0-4AAE-86D1-509974BEF429}"/>
            </a:ext>
          </a:extLst>
        </xdr:cNvPr>
        <xdr:cNvSpPr/>
      </xdr:nvSpPr>
      <xdr:spPr>
        <a:xfrm>
          <a:off x="137160" y="411480"/>
          <a:ext cx="990600" cy="28194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7620</xdr:rowOff>
    </xdr:from>
    <xdr:to>
      <xdr:col>0</xdr:col>
      <xdr:colOff>1500339</xdr:colOff>
      <xdr:row>1</xdr:row>
      <xdr:rowOff>133311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B813F807-7BCE-40B5-B210-BD13A8586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620"/>
          <a:ext cx="1500339" cy="37715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1026795</xdr:colOff>
      <xdr:row>44</xdr:row>
      <xdr:rowOff>168592</xdr:rowOff>
    </xdr:from>
    <xdr:ext cx="178703" cy="1831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1500-000004000000}"/>
                </a:ext>
              </a:extLst>
            </xdr:cNvPr>
            <xdr:cNvSpPr txBox="1"/>
          </xdr:nvSpPr>
          <xdr:spPr>
            <a:xfrm>
              <a:off x="2954655" y="8055292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𝜇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1500-000004000000}"/>
                </a:ext>
              </a:extLst>
            </xdr:cNvPr>
            <xdr:cNvSpPr txBox="1"/>
          </xdr:nvSpPr>
          <xdr:spPr>
            <a:xfrm>
              <a:off x="2954655" y="8055292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𝛽_𝜇</a:t>
              </a:r>
              <a:endParaRPr lang="es-PE" sz="1100"/>
            </a:p>
          </xdr:txBody>
        </xdr:sp>
      </mc:Fallback>
    </mc:AlternateContent>
    <xdr:clientData/>
  </xdr:oneCellAnchor>
  <xdr:twoCellAnchor>
    <xdr:from>
      <xdr:col>0</xdr:col>
      <xdr:colOff>205740</xdr:colOff>
      <xdr:row>1</xdr:row>
      <xdr:rowOff>152400</xdr:rowOff>
    </xdr:from>
    <xdr:to>
      <xdr:col>0</xdr:col>
      <xdr:colOff>1196340</xdr:colOff>
      <xdr:row>3</xdr:row>
      <xdr:rowOff>76200</xdr:rowOff>
    </xdr:to>
    <xdr:sp macro="" textlink="">
      <xdr:nvSpPr>
        <xdr:cNvPr id="8" name="Rectángulo: esquinas redondeada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7587A2-3EE0-4041-9EA8-463F6A8738CC}"/>
            </a:ext>
          </a:extLst>
        </xdr:cNvPr>
        <xdr:cNvSpPr/>
      </xdr:nvSpPr>
      <xdr:spPr>
        <a:xfrm>
          <a:off x="205740" y="403860"/>
          <a:ext cx="990600" cy="28194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68580</xdr:colOff>
      <xdr:row>0</xdr:row>
      <xdr:rowOff>0</xdr:rowOff>
    </xdr:from>
    <xdr:to>
      <xdr:col>1</xdr:col>
      <xdr:colOff>90639</xdr:colOff>
      <xdr:row>1</xdr:row>
      <xdr:rowOff>125691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2DF8E8B-24F8-4F54-A8D4-ECDA281E4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" y="0"/>
          <a:ext cx="1500339" cy="37715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13</xdr:row>
      <xdr:rowOff>33337</xdr:rowOff>
    </xdr:from>
    <xdr:ext cx="17312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1600-000003000000}"/>
                </a:ext>
              </a:extLst>
            </xdr:cNvPr>
            <xdr:cNvSpPr txBox="1"/>
          </xdr:nvSpPr>
          <xdr:spPr>
            <a:xfrm>
              <a:off x="790575" y="2062162"/>
              <a:ext cx="17312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𝑒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1000-000003000000}"/>
                </a:ext>
              </a:extLst>
            </xdr:cNvPr>
            <xdr:cNvSpPr txBox="1"/>
          </xdr:nvSpPr>
          <xdr:spPr>
            <a:xfrm>
              <a:off x="790575" y="2062162"/>
              <a:ext cx="17312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𝛽_𝑒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2</xdr:col>
      <xdr:colOff>561975</xdr:colOff>
      <xdr:row>18</xdr:row>
      <xdr:rowOff>157162</xdr:rowOff>
    </xdr:from>
    <xdr:ext cx="178703" cy="1831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1600-000004000000}"/>
                </a:ext>
              </a:extLst>
            </xdr:cNvPr>
            <xdr:cNvSpPr txBox="1"/>
          </xdr:nvSpPr>
          <xdr:spPr>
            <a:xfrm>
              <a:off x="742950" y="4119562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𝜇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32DD7B5B-6541-4C56-84DB-9F37F78873FC}"/>
                </a:ext>
              </a:extLst>
            </xdr:cNvPr>
            <xdr:cNvSpPr txBox="1"/>
          </xdr:nvSpPr>
          <xdr:spPr>
            <a:xfrm>
              <a:off x="742950" y="4119562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𝛽_𝜇</a:t>
              </a:r>
              <a:endParaRPr lang="es-PE" sz="1100"/>
            </a:p>
          </xdr:txBody>
        </xdr:sp>
      </mc:Fallback>
    </mc:AlternateContent>
    <xdr:clientData/>
  </xdr:oneCellAnchor>
  <xdr:twoCellAnchor>
    <xdr:from>
      <xdr:col>0</xdr:col>
      <xdr:colOff>137160</xdr:colOff>
      <xdr:row>1</xdr:row>
      <xdr:rowOff>152400</xdr:rowOff>
    </xdr:from>
    <xdr:to>
      <xdr:col>1</xdr:col>
      <xdr:colOff>114300</xdr:colOff>
      <xdr:row>3</xdr:row>
      <xdr:rowOff>76200</xdr:rowOff>
    </xdr:to>
    <xdr:sp macro="" textlink="">
      <xdr:nvSpPr>
        <xdr:cNvPr id="8" name="Rectángulo: esquinas redondeada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7171DC-B460-4D8E-9791-596C90821EB9}"/>
            </a:ext>
          </a:extLst>
        </xdr:cNvPr>
        <xdr:cNvSpPr/>
      </xdr:nvSpPr>
      <xdr:spPr>
        <a:xfrm>
          <a:off x="137160" y="403860"/>
          <a:ext cx="990600" cy="28194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486879</xdr:colOff>
      <xdr:row>1</xdr:row>
      <xdr:rowOff>125691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4CCCFDA7-9F5B-4120-9D0D-BE7AF29C6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00339" cy="37715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13</xdr:row>
      <xdr:rowOff>33337</xdr:rowOff>
    </xdr:from>
    <xdr:ext cx="17312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00000000-0008-0000-1700-000002000000}"/>
                </a:ext>
              </a:extLst>
            </xdr:cNvPr>
            <xdr:cNvSpPr txBox="1"/>
          </xdr:nvSpPr>
          <xdr:spPr>
            <a:xfrm>
              <a:off x="314325" y="1985962"/>
              <a:ext cx="17312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𝑒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00000000-0008-0000-1100-000002000000}"/>
                </a:ext>
              </a:extLst>
            </xdr:cNvPr>
            <xdr:cNvSpPr txBox="1"/>
          </xdr:nvSpPr>
          <xdr:spPr>
            <a:xfrm>
              <a:off x="314325" y="1985962"/>
              <a:ext cx="17312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𝛽_𝑒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2</xdr:col>
      <xdr:colOff>716048</xdr:colOff>
      <xdr:row>38</xdr:row>
      <xdr:rowOff>157162</xdr:rowOff>
    </xdr:from>
    <xdr:ext cx="38885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0000000-0008-0000-1700-000005000000}"/>
                </a:ext>
              </a:extLst>
            </xdr:cNvPr>
            <xdr:cNvSpPr txBox="1"/>
          </xdr:nvSpPr>
          <xdr:spPr>
            <a:xfrm flipH="1">
              <a:off x="2449598" y="7129462"/>
              <a:ext cx="38885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𝑒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0000000-0008-0000-1700-000005000000}"/>
                </a:ext>
              </a:extLst>
            </xdr:cNvPr>
            <xdr:cNvSpPr txBox="1"/>
          </xdr:nvSpPr>
          <xdr:spPr>
            <a:xfrm flipH="1">
              <a:off x="2449598" y="7129462"/>
              <a:ext cx="38885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𝛽_𝑒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2</xdr:col>
      <xdr:colOff>561975</xdr:colOff>
      <xdr:row>43</xdr:row>
      <xdr:rowOff>157162</xdr:rowOff>
    </xdr:from>
    <xdr:ext cx="178703" cy="1831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1700-000006000000}"/>
                </a:ext>
              </a:extLst>
            </xdr:cNvPr>
            <xdr:cNvSpPr txBox="1"/>
          </xdr:nvSpPr>
          <xdr:spPr>
            <a:xfrm>
              <a:off x="1323975" y="1290637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𝜇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1700-000006000000}"/>
                </a:ext>
              </a:extLst>
            </xdr:cNvPr>
            <xdr:cNvSpPr txBox="1"/>
          </xdr:nvSpPr>
          <xdr:spPr>
            <a:xfrm>
              <a:off x="1323975" y="1290637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𝛽_𝜇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2</xdr:col>
      <xdr:colOff>407670</xdr:colOff>
      <xdr:row>46</xdr:row>
      <xdr:rowOff>18097</xdr:rowOff>
    </xdr:from>
    <xdr:ext cx="178703" cy="1831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00000000-0008-0000-1700-000007000000}"/>
                </a:ext>
              </a:extLst>
            </xdr:cNvPr>
            <xdr:cNvSpPr txBox="1"/>
          </xdr:nvSpPr>
          <xdr:spPr>
            <a:xfrm>
              <a:off x="2190750" y="7013257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𝜇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00000000-0008-0000-1700-000007000000}"/>
                </a:ext>
              </a:extLst>
            </xdr:cNvPr>
            <xdr:cNvSpPr txBox="1"/>
          </xdr:nvSpPr>
          <xdr:spPr>
            <a:xfrm>
              <a:off x="2190750" y="7013257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𝛽_𝜇</a:t>
              </a:r>
              <a:endParaRPr lang="es-PE" sz="1100"/>
            </a:p>
          </xdr:txBody>
        </xdr:sp>
      </mc:Fallback>
    </mc:AlternateContent>
    <xdr:clientData/>
  </xdr:oneCellAnchor>
  <xdr:twoCellAnchor>
    <xdr:from>
      <xdr:col>0</xdr:col>
      <xdr:colOff>137160</xdr:colOff>
      <xdr:row>1</xdr:row>
      <xdr:rowOff>152400</xdr:rowOff>
    </xdr:from>
    <xdr:to>
      <xdr:col>0</xdr:col>
      <xdr:colOff>1127760</xdr:colOff>
      <xdr:row>3</xdr:row>
      <xdr:rowOff>91440</xdr:rowOff>
    </xdr:to>
    <xdr:sp macro="" textlink="">
      <xdr:nvSpPr>
        <xdr:cNvPr id="8" name="Rectángulo: esquinas redondeada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A7B238-DD42-4C25-9480-CFBE3E0167B3}"/>
            </a:ext>
          </a:extLst>
        </xdr:cNvPr>
        <xdr:cNvSpPr/>
      </xdr:nvSpPr>
      <xdr:spPr>
        <a:xfrm>
          <a:off x="137160" y="403860"/>
          <a:ext cx="990600" cy="28194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1452714</xdr:colOff>
      <xdr:row>2</xdr:row>
      <xdr:rowOff>1866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CF7191A4-7685-480C-8F17-221481BFF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00339" cy="37715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47625</xdr:colOff>
      <xdr:row>8</xdr:row>
      <xdr:rowOff>0</xdr:rowOff>
    </xdr:from>
    <xdr:ext cx="13042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1800-000004000000}"/>
                </a:ext>
              </a:extLst>
            </xdr:cNvPr>
            <xdr:cNvSpPr txBox="1"/>
          </xdr:nvSpPr>
          <xdr:spPr>
            <a:xfrm>
              <a:off x="6410325" y="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 i="1">
                        <a:latin typeface="Cambria Math" panose="02040503050406030204" pitchFamily="18" charset="0"/>
                      </a:rPr>
                      <m:t>𝜑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6D620AE1-2E68-470F-AFD7-DE98646EEE30}"/>
                </a:ext>
              </a:extLst>
            </xdr:cNvPr>
            <xdr:cNvSpPr txBox="1"/>
          </xdr:nvSpPr>
          <xdr:spPr>
            <a:xfrm>
              <a:off x="6410325" y="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𝜑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2</xdr:col>
      <xdr:colOff>47625</xdr:colOff>
      <xdr:row>9</xdr:row>
      <xdr:rowOff>0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SpPr txBox="1"/>
      </xdr:nvSpPr>
      <xdr:spPr>
        <a:xfrm>
          <a:off x="809625" y="104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2</xdr:col>
      <xdr:colOff>47625</xdr:colOff>
      <xdr:row>15</xdr:row>
      <xdr:rowOff>0</xdr:rowOff>
    </xdr:from>
    <xdr:ext cx="65" cy="17222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SpPr txBox="1"/>
      </xdr:nvSpPr>
      <xdr:spPr>
        <a:xfrm>
          <a:off x="809625" y="1209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2</xdr:col>
      <xdr:colOff>561975</xdr:colOff>
      <xdr:row>18</xdr:row>
      <xdr:rowOff>204787</xdr:rowOff>
    </xdr:from>
    <xdr:ext cx="178703" cy="1831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00000000-0008-0000-1800-00000A000000}"/>
                </a:ext>
              </a:extLst>
            </xdr:cNvPr>
            <xdr:cNvSpPr txBox="1"/>
          </xdr:nvSpPr>
          <xdr:spPr>
            <a:xfrm>
              <a:off x="2733675" y="3671887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𝜇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00000000-0008-0000-1800-00000A000000}"/>
                </a:ext>
              </a:extLst>
            </xdr:cNvPr>
            <xdr:cNvSpPr txBox="1"/>
          </xdr:nvSpPr>
          <xdr:spPr>
            <a:xfrm>
              <a:off x="2733675" y="3671887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𝛽_𝜇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2</xdr:col>
      <xdr:colOff>47625</xdr:colOff>
      <xdr:row>14</xdr:row>
      <xdr:rowOff>0</xdr:rowOff>
    </xdr:from>
    <xdr:ext cx="13042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00000000-0008-0000-1800-00000B000000}"/>
                </a:ext>
              </a:extLst>
            </xdr:cNvPr>
            <xdr:cNvSpPr txBox="1"/>
          </xdr:nvSpPr>
          <xdr:spPr>
            <a:xfrm>
              <a:off x="809625" y="12192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 i="1">
                        <a:latin typeface="Cambria Math" panose="02040503050406030204" pitchFamily="18" charset="0"/>
                      </a:rPr>
                      <m:t>𝜑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D947601C-2911-436F-B3AC-660E1EA5B570}"/>
                </a:ext>
              </a:extLst>
            </xdr:cNvPr>
            <xdr:cNvSpPr txBox="1"/>
          </xdr:nvSpPr>
          <xdr:spPr>
            <a:xfrm>
              <a:off x="809625" y="12192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𝜑</a:t>
              </a:r>
              <a:endParaRPr lang="es-PE" sz="1100"/>
            </a:p>
          </xdr:txBody>
        </xdr:sp>
      </mc:Fallback>
    </mc:AlternateContent>
    <xdr:clientData/>
  </xdr:oneCellAnchor>
  <xdr:twoCellAnchor>
    <xdr:from>
      <xdr:col>0</xdr:col>
      <xdr:colOff>137160</xdr:colOff>
      <xdr:row>1</xdr:row>
      <xdr:rowOff>152400</xdr:rowOff>
    </xdr:from>
    <xdr:to>
      <xdr:col>0</xdr:col>
      <xdr:colOff>1127760</xdr:colOff>
      <xdr:row>3</xdr:row>
      <xdr:rowOff>114300</xdr:rowOff>
    </xdr:to>
    <xdr:sp macro="" textlink="">
      <xdr:nvSpPr>
        <xdr:cNvPr id="13" name="Rectángulo: esquinas redondeadas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1E2A10-082B-4865-A5C6-15A0C9A8B10B}"/>
            </a:ext>
          </a:extLst>
        </xdr:cNvPr>
        <xdr:cNvSpPr/>
      </xdr:nvSpPr>
      <xdr:spPr>
        <a:xfrm>
          <a:off x="137160" y="403860"/>
          <a:ext cx="990600" cy="30480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113499</xdr:colOff>
      <xdr:row>1</xdr:row>
      <xdr:rowOff>125691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62B3E530-6CD5-4D5F-9601-C34E51D99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00339" cy="377151"/>
        </a:xfrm>
        <a:prstGeom prst="rect">
          <a:avLst/>
        </a:prstGeom>
      </xdr:spPr>
    </xdr:pic>
    <xdr:clientData/>
  </xdr:twoCellAnchor>
  <xdr:twoCellAnchor>
    <xdr:from>
      <xdr:col>12</xdr:col>
      <xdr:colOff>180975</xdr:colOff>
      <xdr:row>13</xdr:row>
      <xdr:rowOff>85725</xdr:rowOff>
    </xdr:from>
    <xdr:to>
      <xdr:col>12</xdr:col>
      <xdr:colOff>495300</xdr:colOff>
      <xdr:row>15</xdr:row>
      <xdr:rowOff>104775</xdr:rowOff>
    </xdr:to>
    <xdr:sp macro="" textlink="">
      <xdr:nvSpPr>
        <xdr:cNvPr id="12" name="Signo de multiplicación 11">
          <a:extLst>
            <a:ext uri="{FF2B5EF4-FFF2-40B4-BE49-F238E27FC236}">
              <a16:creationId xmlns:a16="http://schemas.microsoft.com/office/drawing/2014/main" id="{F0974C3C-EF34-43CD-991D-1BB1311D11CD}"/>
            </a:ext>
          </a:extLst>
        </xdr:cNvPr>
        <xdr:cNvSpPr/>
      </xdr:nvSpPr>
      <xdr:spPr>
        <a:xfrm>
          <a:off x="4752975" y="2009775"/>
          <a:ext cx="314325" cy="409575"/>
        </a:xfrm>
        <a:prstGeom prst="mathMultiply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9</xdr:col>
      <xdr:colOff>200025</xdr:colOff>
      <xdr:row>13</xdr:row>
      <xdr:rowOff>161925</xdr:rowOff>
    </xdr:from>
    <xdr:to>
      <xdr:col>9</xdr:col>
      <xdr:colOff>523875</xdr:colOff>
      <xdr:row>15</xdr:row>
      <xdr:rowOff>95250</xdr:rowOff>
    </xdr:to>
    <xdr:sp macro="" textlink="">
      <xdr:nvSpPr>
        <xdr:cNvPr id="15" name="Signo más 14">
          <a:extLst>
            <a:ext uri="{FF2B5EF4-FFF2-40B4-BE49-F238E27FC236}">
              <a16:creationId xmlns:a16="http://schemas.microsoft.com/office/drawing/2014/main" id="{0B04C293-C718-4992-93E8-51C9FE58828F}"/>
            </a:ext>
          </a:extLst>
        </xdr:cNvPr>
        <xdr:cNvSpPr/>
      </xdr:nvSpPr>
      <xdr:spPr>
        <a:xfrm>
          <a:off x="2486025" y="2085975"/>
          <a:ext cx="323850" cy="323850"/>
        </a:xfrm>
        <a:prstGeom prst="mathPlus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15</xdr:col>
      <xdr:colOff>600075</xdr:colOff>
      <xdr:row>13</xdr:row>
      <xdr:rowOff>104775</xdr:rowOff>
    </xdr:from>
    <xdr:to>
      <xdr:col>16</xdr:col>
      <xdr:colOff>161925</xdr:colOff>
      <xdr:row>15</xdr:row>
      <xdr:rowOff>38100</xdr:rowOff>
    </xdr:to>
    <xdr:sp macro="" textlink="">
      <xdr:nvSpPr>
        <xdr:cNvPr id="16" name="Signo más 15">
          <a:extLst>
            <a:ext uri="{FF2B5EF4-FFF2-40B4-BE49-F238E27FC236}">
              <a16:creationId xmlns:a16="http://schemas.microsoft.com/office/drawing/2014/main" id="{31D2AF3E-75DD-4478-869A-822947237AC2}"/>
            </a:ext>
          </a:extLst>
        </xdr:cNvPr>
        <xdr:cNvSpPr/>
      </xdr:nvSpPr>
      <xdr:spPr>
        <a:xfrm>
          <a:off x="7458075" y="2028825"/>
          <a:ext cx="323850" cy="323850"/>
        </a:xfrm>
        <a:prstGeom prst="mathPlus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18</xdr:col>
      <xdr:colOff>666750</xdr:colOff>
      <xdr:row>18</xdr:row>
      <xdr:rowOff>76200</xdr:rowOff>
    </xdr:from>
    <xdr:to>
      <xdr:col>19</xdr:col>
      <xdr:colOff>219075</xdr:colOff>
      <xdr:row>20</xdr:row>
      <xdr:rowOff>133350</xdr:rowOff>
    </xdr:to>
    <xdr:sp macro="" textlink="">
      <xdr:nvSpPr>
        <xdr:cNvPr id="17" name="Signo de multiplicación 16">
          <a:extLst>
            <a:ext uri="{FF2B5EF4-FFF2-40B4-BE49-F238E27FC236}">
              <a16:creationId xmlns:a16="http://schemas.microsoft.com/office/drawing/2014/main" id="{913A4B72-86CD-479F-8C75-8F3468DED67A}"/>
            </a:ext>
          </a:extLst>
        </xdr:cNvPr>
        <xdr:cNvSpPr/>
      </xdr:nvSpPr>
      <xdr:spPr>
        <a:xfrm>
          <a:off x="9810750" y="2943225"/>
          <a:ext cx="314325" cy="409575"/>
        </a:xfrm>
        <a:prstGeom prst="mathMultiply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47625</xdr:colOff>
      <xdr:row>21</xdr:row>
      <xdr:rowOff>4762</xdr:rowOff>
    </xdr:from>
    <xdr:ext cx="17312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1A00-000003000000}"/>
                </a:ext>
              </a:extLst>
            </xdr:cNvPr>
            <xdr:cNvSpPr txBox="1"/>
          </xdr:nvSpPr>
          <xdr:spPr>
            <a:xfrm>
              <a:off x="809625" y="21216937"/>
              <a:ext cx="17312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𝑒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CABBBA05-1925-4CCE-8D19-60951A8548F1}"/>
                </a:ext>
              </a:extLst>
            </xdr:cNvPr>
            <xdr:cNvSpPr txBox="1"/>
          </xdr:nvSpPr>
          <xdr:spPr>
            <a:xfrm>
              <a:off x="809625" y="21216937"/>
              <a:ext cx="17312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𝛽_𝑒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2</xdr:col>
      <xdr:colOff>1085850</xdr:colOff>
      <xdr:row>79</xdr:row>
      <xdr:rowOff>14287</xdr:rowOff>
    </xdr:from>
    <xdr:ext cx="17312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1A00-000004000000}"/>
                </a:ext>
              </a:extLst>
            </xdr:cNvPr>
            <xdr:cNvSpPr txBox="1"/>
          </xdr:nvSpPr>
          <xdr:spPr>
            <a:xfrm>
              <a:off x="1847850" y="8510587"/>
              <a:ext cx="17312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𝑒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1300-000004000000}"/>
                </a:ext>
              </a:extLst>
            </xdr:cNvPr>
            <xdr:cNvSpPr txBox="1"/>
          </xdr:nvSpPr>
          <xdr:spPr>
            <a:xfrm>
              <a:off x="1847850" y="8510587"/>
              <a:ext cx="17312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𝛽_𝑒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2</xdr:col>
      <xdr:colOff>1038225</xdr:colOff>
      <xdr:row>82</xdr:row>
      <xdr:rowOff>157162</xdr:rowOff>
    </xdr:from>
    <xdr:ext cx="178703" cy="1831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0000000-0008-0000-1A00-000005000000}"/>
                </a:ext>
              </a:extLst>
            </xdr:cNvPr>
            <xdr:cNvSpPr txBox="1"/>
          </xdr:nvSpPr>
          <xdr:spPr>
            <a:xfrm>
              <a:off x="1800225" y="9139237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𝜇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0000000-0008-0000-1300-000005000000}"/>
                </a:ext>
              </a:extLst>
            </xdr:cNvPr>
            <xdr:cNvSpPr txBox="1"/>
          </xdr:nvSpPr>
          <xdr:spPr>
            <a:xfrm>
              <a:off x="1800225" y="9139237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𝛽_𝜇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2</xdr:col>
      <xdr:colOff>552451</xdr:colOff>
      <xdr:row>83</xdr:row>
      <xdr:rowOff>161924</xdr:rowOff>
    </xdr:from>
    <xdr:ext cx="219074" cy="1831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1A00-000006000000}"/>
                </a:ext>
              </a:extLst>
            </xdr:cNvPr>
            <xdr:cNvSpPr txBox="1"/>
          </xdr:nvSpPr>
          <xdr:spPr>
            <a:xfrm>
              <a:off x="1314451" y="13535024"/>
              <a:ext cx="219074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𝜇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1300-000006000000}"/>
                </a:ext>
              </a:extLst>
            </xdr:cNvPr>
            <xdr:cNvSpPr txBox="1"/>
          </xdr:nvSpPr>
          <xdr:spPr>
            <a:xfrm>
              <a:off x="1314451" y="13535024"/>
              <a:ext cx="219074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𝛽_𝜇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2</xdr:col>
      <xdr:colOff>1058779</xdr:colOff>
      <xdr:row>86</xdr:row>
      <xdr:rowOff>174959</xdr:rowOff>
    </xdr:from>
    <xdr:ext cx="17312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00000000-0008-0000-1A00-000007000000}"/>
                </a:ext>
              </a:extLst>
            </xdr:cNvPr>
            <xdr:cNvSpPr txBox="1"/>
          </xdr:nvSpPr>
          <xdr:spPr>
            <a:xfrm>
              <a:off x="2895600" y="15495170"/>
              <a:ext cx="17312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𝑒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00000000-0008-0000-1A00-000007000000}"/>
                </a:ext>
              </a:extLst>
            </xdr:cNvPr>
            <xdr:cNvSpPr txBox="1"/>
          </xdr:nvSpPr>
          <xdr:spPr>
            <a:xfrm>
              <a:off x="2895600" y="15495170"/>
              <a:ext cx="17312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𝛽_𝑒</a:t>
              </a:r>
              <a:endParaRPr lang="es-PE" sz="1100"/>
            </a:p>
          </xdr:txBody>
        </xdr:sp>
      </mc:Fallback>
    </mc:AlternateContent>
    <xdr:clientData/>
  </xdr:oneCellAnchor>
  <xdr:twoCellAnchor>
    <xdr:from>
      <xdr:col>0</xdr:col>
      <xdr:colOff>137160</xdr:colOff>
      <xdr:row>1</xdr:row>
      <xdr:rowOff>163227</xdr:rowOff>
    </xdr:from>
    <xdr:to>
      <xdr:col>1</xdr:col>
      <xdr:colOff>77002</xdr:colOff>
      <xdr:row>3</xdr:row>
      <xdr:rowOff>138362</xdr:rowOff>
    </xdr:to>
    <xdr:sp macro="" textlink="">
      <xdr:nvSpPr>
        <xdr:cNvPr id="9" name="Rectángulo: esquinas redondeadas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7D56AD-F3DC-4F96-9168-322D548CA394}"/>
            </a:ext>
          </a:extLst>
        </xdr:cNvPr>
        <xdr:cNvSpPr/>
      </xdr:nvSpPr>
      <xdr:spPr>
        <a:xfrm>
          <a:off x="137160" y="411880"/>
          <a:ext cx="990600" cy="32004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8020</xdr:rowOff>
    </xdr:from>
    <xdr:to>
      <xdr:col>1</xdr:col>
      <xdr:colOff>449581</xdr:colOff>
      <xdr:row>1</xdr:row>
      <xdr:rowOff>136518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AF4867BE-5B8B-4B72-A185-3157AF14CB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020"/>
          <a:ext cx="1500339" cy="37715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6</xdr:row>
      <xdr:rowOff>4762</xdr:rowOff>
    </xdr:from>
    <xdr:ext cx="12061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1B00-000004000000}"/>
                </a:ext>
              </a:extLst>
            </xdr:cNvPr>
            <xdr:cNvSpPr txBox="1"/>
          </xdr:nvSpPr>
          <xdr:spPr>
            <a:xfrm>
              <a:off x="371475" y="814387"/>
              <a:ext cx="12061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𝑔</m:t>
                        </m:r>
                      </m:e>
                    </m:acc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1300-000004000000}"/>
                </a:ext>
              </a:extLst>
            </xdr:cNvPr>
            <xdr:cNvSpPr txBox="1"/>
          </xdr:nvSpPr>
          <xdr:spPr>
            <a:xfrm>
              <a:off x="371475" y="814387"/>
              <a:ext cx="12061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𝑔 ̂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2</xdr:col>
      <xdr:colOff>47625</xdr:colOff>
      <xdr:row>12</xdr:row>
      <xdr:rowOff>23812</xdr:rowOff>
    </xdr:from>
    <xdr:ext cx="12061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0000000-0008-0000-1B00-000005000000}"/>
                </a:ext>
              </a:extLst>
            </xdr:cNvPr>
            <xdr:cNvSpPr txBox="1"/>
          </xdr:nvSpPr>
          <xdr:spPr>
            <a:xfrm>
              <a:off x="809625" y="1814512"/>
              <a:ext cx="12061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𝑔</m:t>
                        </m:r>
                      </m:e>
                    </m:acc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0000000-0008-0000-1400-000005000000}"/>
                </a:ext>
              </a:extLst>
            </xdr:cNvPr>
            <xdr:cNvSpPr txBox="1"/>
          </xdr:nvSpPr>
          <xdr:spPr>
            <a:xfrm>
              <a:off x="809625" y="1814512"/>
              <a:ext cx="12061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𝑔 ̂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2</xdr:col>
      <xdr:colOff>38100</xdr:colOff>
      <xdr:row>9</xdr:row>
      <xdr:rowOff>4762</xdr:rowOff>
    </xdr:from>
    <xdr:ext cx="12061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1B00-000006000000}"/>
                </a:ext>
              </a:extLst>
            </xdr:cNvPr>
            <xdr:cNvSpPr txBox="1"/>
          </xdr:nvSpPr>
          <xdr:spPr>
            <a:xfrm>
              <a:off x="800100" y="12149137"/>
              <a:ext cx="12061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𝑔</m:t>
                        </m:r>
                      </m:e>
                    </m:acc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1300-000006000000}"/>
                </a:ext>
              </a:extLst>
            </xdr:cNvPr>
            <xdr:cNvSpPr txBox="1"/>
          </xdr:nvSpPr>
          <xdr:spPr>
            <a:xfrm>
              <a:off x="800100" y="12149137"/>
              <a:ext cx="12061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𝑔 ̂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76200</xdr:colOff>
      <xdr:row>87</xdr:row>
      <xdr:rowOff>4762</xdr:rowOff>
    </xdr:from>
    <xdr:ext cx="178703" cy="1831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00000000-0008-0000-1B00-000008000000}"/>
                </a:ext>
              </a:extLst>
            </xdr:cNvPr>
            <xdr:cNvSpPr txBox="1"/>
          </xdr:nvSpPr>
          <xdr:spPr>
            <a:xfrm>
              <a:off x="5629275" y="20893087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s-PE" sz="110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𝜇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00000000-0008-0000-1B00-000008000000}"/>
                </a:ext>
              </a:extLst>
            </xdr:cNvPr>
            <xdr:cNvSpPr txBox="1"/>
          </xdr:nvSpPr>
          <xdr:spPr>
            <a:xfrm>
              <a:off x="5629275" y="20893087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chemeClr val="bg1"/>
                  </a:solidFill>
                  <a:latin typeface="Cambria Math" panose="02040503050406030204" pitchFamily="18" charset="0"/>
                </a:rPr>
                <a:t>𝛽_𝜇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8</xdr:col>
      <xdr:colOff>257175</xdr:colOff>
      <xdr:row>76</xdr:row>
      <xdr:rowOff>38100</xdr:rowOff>
    </xdr:from>
    <xdr:ext cx="216803" cy="1831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00000000-0008-0000-1B00-000009000000}"/>
                </a:ext>
              </a:extLst>
            </xdr:cNvPr>
            <xdr:cNvSpPr txBox="1"/>
          </xdr:nvSpPr>
          <xdr:spPr>
            <a:xfrm>
              <a:off x="5591175" y="12525375"/>
              <a:ext cx="2168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s-PE" sz="110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𝜇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00000000-0008-0000-1B00-000009000000}"/>
                </a:ext>
              </a:extLst>
            </xdr:cNvPr>
            <xdr:cNvSpPr txBox="1"/>
          </xdr:nvSpPr>
          <xdr:spPr>
            <a:xfrm>
              <a:off x="5591175" y="12525375"/>
              <a:ext cx="2168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chemeClr val="bg1"/>
                  </a:solidFill>
                  <a:latin typeface="Cambria Math" panose="02040503050406030204" pitchFamily="18" charset="0"/>
                </a:rPr>
                <a:t>𝛽_𝜇</a:t>
              </a:r>
              <a:endParaRPr lang="es-PE" sz="1100"/>
            </a:p>
          </xdr:txBody>
        </xdr:sp>
      </mc:Fallback>
    </mc:AlternateContent>
    <xdr:clientData/>
  </xdr:oneCellAnchor>
  <xdr:twoCellAnchor>
    <xdr:from>
      <xdr:col>0</xdr:col>
      <xdr:colOff>129540</xdr:colOff>
      <xdr:row>2</xdr:row>
      <xdr:rowOff>38100</xdr:rowOff>
    </xdr:from>
    <xdr:to>
      <xdr:col>1</xdr:col>
      <xdr:colOff>91440</xdr:colOff>
      <xdr:row>3</xdr:row>
      <xdr:rowOff>160020</xdr:rowOff>
    </xdr:to>
    <xdr:sp macro="" textlink="">
      <xdr:nvSpPr>
        <xdr:cNvPr id="10" name="Rectángulo: esquinas redondeadas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04169B-A188-48EA-8F6F-CD37B0C5CEA9}"/>
            </a:ext>
          </a:extLst>
        </xdr:cNvPr>
        <xdr:cNvSpPr/>
      </xdr:nvSpPr>
      <xdr:spPr>
        <a:xfrm>
          <a:off x="129540" y="464820"/>
          <a:ext cx="990600" cy="28956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1</xdr:col>
      <xdr:colOff>486879</xdr:colOff>
      <xdr:row>1</xdr:row>
      <xdr:rowOff>140931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8A0A2AA-0924-4C3A-80FA-A210513A7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" y="15240"/>
          <a:ext cx="1500339" cy="3771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638175</xdr:colOff>
      <xdr:row>13</xdr:row>
      <xdr:rowOff>157162</xdr:rowOff>
    </xdr:from>
    <xdr:ext cx="17312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0000000-0008-0000-0700-000005000000}"/>
                </a:ext>
              </a:extLst>
            </xdr:cNvPr>
            <xdr:cNvSpPr txBox="1"/>
          </xdr:nvSpPr>
          <xdr:spPr>
            <a:xfrm>
              <a:off x="1400175" y="5719762"/>
              <a:ext cx="17312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𝑒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D1CFE82A-F66F-42B7-A390-0DDEC824003C}"/>
                </a:ext>
              </a:extLst>
            </xdr:cNvPr>
            <xdr:cNvSpPr txBox="1"/>
          </xdr:nvSpPr>
          <xdr:spPr>
            <a:xfrm>
              <a:off x="1400175" y="5719762"/>
              <a:ext cx="17312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𝛽_𝑒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2</xdr:col>
      <xdr:colOff>561975</xdr:colOff>
      <xdr:row>17</xdr:row>
      <xdr:rowOff>157162</xdr:rowOff>
    </xdr:from>
    <xdr:ext cx="178703" cy="1831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700-000006000000}"/>
                </a:ext>
              </a:extLst>
            </xdr:cNvPr>
            <xdr:cNvSpPr txBox="1"/>
          </xdr:nvSpPr>
          <xdr:spPr>
            <a:xfrm>
              <a:off x="1323975" y="6367462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𝜇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1F38A43-571C-4672-A289-9B4CF84A9172}"/>
                </a:ext>
              </a:extLst>
            </xdr:cNvPr>
            <xdr:cNvSpPr txBox="1"/>
          </xdr:nvSpPr>
          <xdr:spPr>
            <a:xfrm>
              <a:off x="1323975" y="6367462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𝛽_𝜇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2</xdr:col>
      <xdr:colOff>990600</xdr:colOff>
      <xdr:row>18</xdr:row>
      <xdr:rowOff>157162</xdr:rowOff>
    </xdr:from>
    <xdr:ext cx="178703" cy="1831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00000000-0008-0000-0700-000007000000}"/>
                </a:ext>
              </a:extLst>
            </xdr:cNvPr>
            <xdr:cNvSpPr txBox="1"/>
          </xdr:nvSpPr>
          <xdr:spPr>
            <a:xfrm>
              <a:off x="1752600" y="6529387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𝜇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30E44443-0F54-412E-AD4E-22AF38CDC7E3}"/>
                </a:ext>
              </a:extLst>
            </xdr:cNvPr>
            <xdr:cNvSpPr txBox="1"/>
          </xdr:nvSpPr>
          <xdr:spPr>
            <a:xfrm>
              <a:off x="1752600" y="6529387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𝛽_𝜇</a:t>
              </a:r>
              <a:endParaRPr lang="es-PE" sz="1100"/>
            </a:p>
          </xdr:txBody>
        </xdr:sp>
      </mc:Fallback>
    </mc:AlternateContent>
    <xdr:clientData/>
  </xdr:oneCellAnchor>
  <xdr:twoCellAnchor>
    <xdr:from>
      <xdr:col>0</xdr:col>
      <xdr:colOff>137160</xdr:colOff>
      <xdr:row>1</xdr:row>
      <xdr:rowOff>167640</xdr:rowOff>
    </xdr:from>
    <xdr:to>
      <xdr:col>0</xdr:col>
      <xdr:colOff>1127760</xdr:colOff>
      <xdr:row>3</xdr:row>
      <xdr:rowOff>99060</xdr:rowOff>
    </xdr:to>
    <xdr:sp macro="" textlink="">
      <xdr:nvSpPr>
        <xdr:cNvPr id="11" name="Rectángulo: esquinas redondeadas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193509-DC6F-48D3-ACCD-E8740ED7C003}"/>
            </a:ext>
          </a:extLst>
        </xdr:cNvPr>
        <xdr:cNvSpPr/>
      </xdr:nvSpPr>
      <xdr:spPr>
        <a:xfrm>
          <a:off x="137160" y="419100"/>
          <a:ext cx="990600" cy="28194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15240</xdr:rowOff>
    </xdr:from>
    <xdr:to>
      <xdr:col>1</xdr:col>
      <xdr:colOff>121119</xdr:colOff>
      <xdr:row>1</xdr:row>
      <xdr:rowOff>140931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589CA701-8351-4FB4-9F5E-5B390143D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5240"/>
          <a:ext cx="1500339" cy="37715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6</xdr:row>
      <xdr:rowOff>4762</xdr:rowOff>
    </xdr:from>
    <xdr:ext cx="12061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1C00-000003000000}"/>
                </a:ext>
              </a:extLst>
            </xdr:cNvPr>
            <xdr:cNvSpPr txBox="1"/>
          </xdr:nvSpPr>
          <xdr:spPr>
            <a:xfrm>
              <a:off x="800100" y="1624012"/>
              <a:ext cx="12061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𝑔</m:t>
                        </m:r>
                      </m:e>
                    </m:acc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9EBC65BE-B68D-4C6B-9F22-7714367FD400}"/>
                </a:ext>
              </a:extLst>
            </xdr:cNvPr>
            <xdr:cNvSpPr txBox="1"/>
          </xdr:nvSpPr>
          <xdr:spPr>
            <a:xfrm>
              <a:off x="800100" y="1624012"/>
              <a:ext cx="12061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𝑔 ̂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2</xdr:col>
      <xdr:colOff>19050</xdr:colOff>
      <xdr:row>22</xdr:row>
      <xdr:rowOff>155257</xdr:rowOff>
    </xdr:from>
    <xdr:ext cx="178703" cy="1831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1C00-000004000000}"/>
                </a:ext>
              </a:extLst>
            </xdr:cNvPr>
            <xdr:cNvSpPr txBox="1"/>
          </xdr:nvSpPr>
          <xdr:spPr>
            <a:xfrm>
              <a:off x="2000250" y="4155757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𝜇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1C00-000004000000}"/>
                </a:ext>
              </a:extLst>
            </xdr:cNvPr>
            <xdr:cNvSpPr txBox="1"/>
          </xdr:nvSpPr>
          <xdr:spPr>
            <a:xfrm>
              <a:off x="2000250" y="4155757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𝛽_𝜇</a:t>
              </a:r>
              <a:endParaRPr lang="es-PE" sz="1100"/>
            </a:p>
          </xdr:txBody>
        </xdr:sp>
      </mc:Fallback>
    </mc:AlternateContent>
    <xdr:clientData/>
  </xdr:oneCellAnchor>
  <xdr:twoCellAnchor>
    <xdr:from>
      <xdr:col>0</xdr:col>
      <xdr:colOff>175260</xdr:colOff>
      <xdr:row>2</xdr:row>
      <xdr:rowOff>22860</xdr:rowOff>
    </xdr:from>
    <xdr:to>
      <xdr:col>0</xdr:col>
      <xdr:colOff>1165860</xdr:colOff>
      <xdr:row>3</xdr:row>
      <xdr:rowOff>129540</xdr:rowOff>
    </xdr:to>
    <xdr:sp macro="" textlink="">
      <xdr:nvSpPr>
        <xdr:cNvPr id="5" name="Rectángulo: esquinas redondeada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617EFB-1DD5-45C6-B75C-A8E881E1DA7C}"/>
            </a:ext>
          </a:extLst>
        </xdr:cNvPr>
        <xdr:cNvSpPr/>
      </xdr:nvSpPr>
      <xdr:spPr>
        <a:xfrm>
          <a:off x="175260" y="449580"/>
          <a:ext cx="990600" cy="27432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52539</xdr:colOff>
      <xdr:row>1</xdr:row>
      <xdr:rowOff>125691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C308FB8-26C5-4783-A6EF-2E4A88544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" y="0"/>
          <a:ext cx="1500339" cy="37715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47625</xdr:colOff>
      <xdr:row>3</xdr:row>
      <xdr:rowOff>0</xdr:rowOff>
    </xdr:from>
    <xdr:ext cx="13042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1D00-000003000000}"/>
                </a:ext>
              </a:extLst>
            </xdr:cNvPr>
            <xdr:cNvSpPr txBox="1"/>
          </xdr:nvSpPr>
          <xdr:spPr>
            <a:xfrm>
              <a:off x="809625" y="104775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 i="1">
                        <a:latin typeface="Cambria Math" panose="02040503050406030204" pitchFamily="18" charset="0"/>
                      </a:rPr>
                      <m:t>𝜑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F44D61F6-D8EB-4EFE-8027-92BB787C01A7}"/>
                </a:ext>
              </a:extLst>
            </xdr:cNvPr>
            <xdr:cNvSpPr txBox="1"/>
          </xdr:nvSpPr>
          <xdr:spPr>
            <a:xfrm>
              <a:off x="809625" y="104775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𝜑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2</xdr:col>
      <xdr:colOff>47625</xdr:colOff>
      <xdr:row>4</xdr:row>
      <xdr:rowOff>0</xdr:rowOff>
    </xdr:from>
    <xdr:ext cx="65" cy="17222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SpPr txBox="1"/>
      </xdr:nvSpPr>
      <xdr:spPr>
        <a:xfrm>
          <a:off x="809625" y="1209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2</xdr:col>
      <xdr:colOff>47625</xdr:colOff>
      <xdr:row>9</xdr:row>
      <xdr:rowOff>0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1D00-000005000000}"/>
            </a:ext>
          </a:extLst>
        </xdr:cNvPr>
        <xdr:cNvSpPr txBox="1"/>
      </xdr:nvSpPr>
      <xdr:spPr>
        <a:xfrm>
          <a:off x="809625" y="225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2</xdr:col>
      <xdr:colOff>293370</xdr:colOff>
      <xdr:row>11</xdr:row>
      <xdr:rowOff>16192</xdr:rowOff>
    </xdr:from>
    <xdr:ext cx="17312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00000000-0008-0000-1D00-000008000000}"/>
                </a:ext>
              </a:extLst>
            </xdr:cNvPr>
            <xdr:cNvSpPr txBox="1"/>
          </xdr:nvSpPr>
          <xdr:spPr>
            <a:xfrm>
              <a:off x="1619250" y="1989772"/>
              <a:ext cx="17312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s-PE" sz="110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𝑒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00000000-0008-0000-1D00-000008000000}"/>
                </a:ext>
              </a:extLst>
            </xdr:cNvPr>
            <xdr:cNvSpPr txBox="1"/>
          </xdr:nvSpPr>
          <xdr:spPr>
            <a:xfrm>
              <a:off x="1619250" y="1989772"/>
              <a:ext cx="17312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chemeClr val="bg1"/>
                  </a:solidFill>
                  <a:latin typeface="Cambria Math" panose="02040503050406030204" pitchFamily="18" charset="0"/>
                </a:rPr>
                <a:t>𝛽_𝑒</a:t>
              </a:r>
              <a:endParaRPr lang="es-PE" sz="1100"/>
            </a:p>
          </xdr:txBody>
        </xdr:sp>
      </mc:Fallback>
    </mc:AlternateContent>
    <xdr:clientData/>
  </xdr:oneCellAnchor>
  <xdr:twoCellAnchor>
    <xdr:from>
      <xdr:col>0</xdr:col>
      <xdr:colOff>114300</xdr:colOff>
      <xdr:row>2</xdr:row>
      <xdr:rowOff>22860</xdr:rowOff>
    </xdr:from>
    <xdr:to>
      <xdr:col>0</xdr:col>
      <xdr:colOff>1104900</xdr:colOff>
      <xdr:row>3</xdr:row>
      <xdr:rowOff>121920</xdr:rowOff>
    </xdr:to>
    <xdr:sp macro="" textlink="">
      <xdr:nvSpPr>
        <xdr:cNvPr id="7" name="Rectángulo: esquinas redondeadas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6D8AD5-FA16-436F-A914-BDC96CF6CC46}"/>
            </a:ext>
          </a:extLst>
        </xdr:cNvPr>
        <xdr:cNvSpPr/>
      </xdr:nvSpPr>
      <xdr:spPr>
        <a:xfrm>
          <a:off x="114300" y="449580"/>
          <a:ext cx="990600" cy="27432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75399</xdr:colOff>
      <xdr:row>1</xdr:row>
      <xdr:rowOff>125691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DB7B78D5-1FE1-4D0B-AA14-AF610A336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00339" cy="3771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18</xdr:row>
      <xdr:rowOff>4762</xdr:rowOff>
    </xdr:from>
    <xdr:ext cx="838200" cy="3444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SpPr txBox="1"/>
          </xdr:nvSpPr>
          <xdr:spPr>
            <a:xfrm>
              <a:off x="190500" y="7519987"/>
              <a:ext cx="838200" cy="344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s-PE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s-PE" sz="1100" i="1">
                          <a:latin typeface="Cambria Math" panose="02040503050406030204" pitchFamily="18" charset="0"/>
                        </a:rPr>
                        <m:t>𝛽</m:t>
                      </m:r>
                    </m:e>
                    <m:sub>
                      <m:r>
                        <a:rPr lang="es-PE" sz="1100" i="1">
                          <a:latin typeface="Cambria Math" panose="02040503050406030204" pitchFamily="18" charset="0"/>
                        </a:rPr>
                        <m:t>𝑒</m:t>
                      </m:r>
                    </m:sub>
                  </m:sSub>
                </m:oMath>
              </a14:m>
              <a:r>
                <a:rPr lang="es-PE" sz="1100"/>
                <a:t> </a:t>
              </a:r>
              <a:r>
                <a:rPr lang="es-PE" sz="1000">
                  <a:latin typeface="Arial" panose="020B0604020202020204" pitchFamily="34" charset="0"/>
                  <a:cs typeface="Arial" panose="020B0604020202020204" pitchFamily="34" charset="0"/>
                </a:rPr>
                <a:t>industria</a:t>
              </a:r>
            </a:p>
            <a:p>
              <a:endParaRPr lang="es-PE" sz="1100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ACE3FC01-6588-498C-B2BE-6DF049B69197}"/>
                </a:ext>
              </a:extLst>
            </xdr:cNvPr>
            <xdr:cNvSpPr txBox="1"/>
          </xdr:nvSpPr>
          <xdr:spPr>
            <a:xfrm>
              <a:off x="190500" y="7519987"/>
              <a:ext cx="838200" cy="344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𝛽_𝑒</a:t>
              </a:r>
              <a:r>
                <a:rPr lang="es-PE" sz="1100"/>
                <a:t> </a:t>
              </a:r>
              <a:r>
                <a:rPr lang="es-PE" sz="1000">
                  <a:latin typeface="Arial" panose="020B0604020202020204" pitchFamily="34" charset="0"/>
                  <a:cs typeface="Arial" panose="020B0604020202020204" pitchFamily="34" charset="0"/>
                </a:rPr>
                <a:t>industria</a:t>
              </a:r>
            </a:p>
            <a:p>
              <a:endParaRPr lang="es-PE" sz="1100"/>
            </a:p>
          </xdr:txBody>
        </xdr:sp>
      </mc:Fallback>
    </mc:AlternateContent>
    <xdr:clientData/>
  </xdr:oneCellAnchor>
  <xdr:oneCellAnchor>
    <xdr:from>
      <xdr:col>1</xdr:col>
      <xdr:colOff>66675</xdr:colOff>
      <xdr:row>43</xdr:row>
      <xdr:rowOff>4762</xdr:rowOff>
    </xdr:from>
    <xdr:ext cx="178703" cy="1831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800-000004000000}"/>
                </a:ext>
              </a:extLst>
            </xdr:cNvPr>
            <xdr:cNvSpPr txBox="1"/>
          </xdr:nvSpPr>
          <xdr:spPr>
            <a:xfrm>
              <a:off x="247650" y="11730037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𝜇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A185A172-39D3-48E6-AA9B-3DD5276CCEC2}"/>
                </a:ext>
              </a:extLst>
            </xdr:cNvPr>
            <xdr:cNvSpPr txBox="1"/>
          </xdr:nvSpPr>
          <xdr:spPr>
            <a:xfrm>
              <a:off x="247650" y="11730037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𝛽_𝜇</a:t>
              </a:r>
              <a:endParaRPr lang="es-PE" sz="1100"/>
            </a:p>
          </xdr:txBody>
        </xdr:sp>
      </mc:Fallback>
    </mc:AlternateContent>
    <xdr:clientData/>
  </xdr:oneCellAnchor>
  <xdr:twoCellAnchor>
    <xdr:from>
      <xdr:col>0</xdr:col>
      <xdr:colOff>129540</xdr:colOff>
      <xdr:row>2</xdr:row>
      <xdr:rowOff>7620</xdr:rowOff>
    </xdr:from>
    <xdr:to>
      <xdr:col>0</xdr:col>
      <xdr:colOff>1120140</xdr:colOff>
      <xdr:row>3</xdr:row>
      <xdr:rowOff>114300</xdr:rowOff>
    </xdr:to>
    <xdr:sp macro="" textlink="">
      <xdr:nvSpPr>
        <xdr:cNvPr id="5" name="Rectángulo: esquinas redondeada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FD6C54-BFB8-480A-8D4D-D9174FC8D4BD}"/>
            </a:ext>
          </a:extLst>
        </xdr:cNvPr>
        <xdr:cNvSpPr/>
      </xdr:nvSpPr>
      <xdr:spPr>
        <a:xfrm>
          <a:off x="129540" y="434340"/>
          <a:ext cx="990600" cy="27432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7620</xdr:rowOff>
    </xdr:from>
    <xdr:to>
      <xdr:col>0</xdr:col>
      <xdr:colOff>1500339</xdr:colOff>
      <xdr:row>1</xdr:row>
      <xdr:rowOff>133311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83B0291-A8DE-4B0A-B9C8-0E684BA13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620"/>
          <a:ext cx="1500339" cy="3771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18</xdr:row>
      <xdr:rowOff>4762</xdr:rowOff>
    </xdr:from>
    <xdr:ext cx="838200" cy="157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900-000003000000}"/>
                </a:ext>
              </a:extLst>
            </xdr:cNvPr>
            <xdr:cNvSpPr txBox="1"/>
          </xdr:nvSpPr>
          <xdr:spPr>
            <a:xfrm>
              <a:off x="314325" y="2843212"/>
              <a:ext cx="838200" cy="157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s-PE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s-PE" sz="1100" i="1">
                          <a:latin typeface="Cambria Math" panose="02040503050406030204" pitchFamily="18" charset="0"/>
                        </a:rPr>
                        <m:t>𝛽</m:t>
                      </m:r>
                    </m:e>
                    <m:sub>
                      <m:r>
                        <a:rPr lang="es-PE" sz="1100" i="1">
                          <a:latin typeface="Cambria Math" panose="02040503050406030204" pitchFamily="18" charset="0"/>
                        </a:rPr>
                        <m:t>𝑒</m:t>
                      </m:r>
                    </m:sub>
                  </m:sSub>
                </m:oMath>
              </a14:m>
              <a:r>
                <a:rPr lang="es-PE" sz="1100"/>
                <a:t> benchmark</a:t>
              </a:r>
            </a:p>
            <a:p>
              <a:endParaRPr lang="es-PE" sz="1100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SpPr txBox="1"/>
          </xdr:nvSpPr>
          <xdr:spPr>
            <a:xfrm>
              <a:off x="314325" y="2843212"/>
              <a:ext cx="838200" cy="157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𝛽_𝑒</a:t>
              </a:r>
              <a:r>
                <a:rPr lang="es-PE" sz="1100"/>
                <a:t> benchmark</a:t>
              </a:r>
            </a:p>
            <a:p>
              <a:endParaRPr lang="es-PE" sz="1100"/>
            </a:p>
          </xdr:txBody>
        </xdr:sp>
      </mc:Fallback>
    </mc:AlternateContent>
    <xdr:clientData/>
  </xdr:oneCellAnchor>
  <xdr:oneCellAnchor>
    <xdr:from>
      <xdr:col>1</xdr:col>
      <xdr:colOff>66675</xdr:colOff>
      <xdr:row>48</xdr:row>
      <xdr:rowOff>4762</xdr:rowOff>
    </xdr:from>
    <xdr:ext cx="178703" cy="1831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900-000004000000}"/>
                </a:ext>
              </a:extLst>
            </xdr:cNvPr>
            <xdr:cNvSpPr txBox="1"/>
          </xdr:nvSpPr>
          <xdr:spPr>
            <a:xfrm>
              <a:off x="247650" y="6719887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s-PE" sz="110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𝜇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900-000004000000}"/>
                </a:ext>
              </a:extLst>
            </xdr:cNvPr>
            <xdr:cNvSpPr txBox="1"/>
          </xdr:nvSpPr>
          <xdr:spPr>
            <a:xfrm>
              <a:off x="247650" y="6719887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chemeClr val="bg1"/>
                  </a:solidFill>
                  <a:latin typeface="Cambria Math" panose="02040503050406030204" pitchFamily="18" charset="0"/>
                </a:rPr>
                <a:t>𝛽_𝜇</a:t>
              </a:r>
              <a:endParaRPr lang="es-PE" sz="1100"/>
            </a:p>
          </xdr:txBody>
        </xdr:sp>
      </mc:Fallback>
    </mc:AlternateContent>
    <xdr:clientData/>
  </xdr:oneCellAnchor>
  <xdr:twoCellAnchor>
    <xdr:from>
      <xdr:col>0</xdr:col>
      <xdr:colOff>129540</xdr:colOff>
      <xdr:row>1</xdr:row>
      <xdr:rowOff>144780</xdr:rowOff>
    </xdr:from>
    <xdr:to>
      <xdr:col>0</xdr:col>
      <xdr:colOff>1120140</xdr:colOff>
      <xdr:row>3</xdr:row>
      <xdr:rowOff>83820</xdr:rowOff>
    </xdr:to>
    <xdr:sp macro="" textlink="">
      <xdr:nvSpPr>
        <xdr:cNvPr id="5" name="Rectángulo: esquinas redondeada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A99900-7846-41C0-A0E3-65F666856F64}"/>
            </a:ext>
          </a:extLst>
        </xdr:cNvPr>
        <xdr:cNvSpPr/>
      </xdr:nvSpPr>
      <xdr:spPr>
        <a:xfrm>
          <a:off x="129540" y="396240"/>
          <a:ext cx="990600" cy="29718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15240</xdr:colOff>
      <xdr:row>0</xdr:row>
      <xdr:rowOff>0</xdr:rowOff>
    </xdr:from>
    <xdr:to>
      <xdr:col>0</xdr:col>
      <xdr:colOff>1515579</xdr:colOff>
      <xdr:row>1</xdr:row>
      <xdr:rowOff>125691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1EF727C-16AA-4897-B5EF-4107B717C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" y="0"/>
          <a:ext cx="1500339" cy="3771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13</xdr:row>
      <xdr:rowOff>4762</xdr:rowOff>
    </xdr:from>
    <xdr:ext cx="13042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A00-000004000000}"/>
                </a:ext>
              </a:extLst>
            </xdr:cNvPr>
            <xdr:cNvSpPr txBox="1"/>
          </xdr:nvSpPr>
          <xdr:spPr>
            <a:xfrm>
              <a:off x="6753225" y="4233862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 i="1">
                        <a:latin typeface="Cambria Math" panose="02040503050406030204" pitchFamily="18" charset="0"/>
                      </a:rPr>
                      <m:t>𝜑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8A56BD22-4C99-43F8-95C2-31E694807068}"/>
                </a:ext>
              </a:extLst>
            </xdr:cNvPr>
            <xdr:cNvSpPr txBox="1"/>
          </xdr:nvSpPr>
          <xdr:spPr>
            <a:xfrm>
              <a:off x="6753225" y="4233862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𝜑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47625</xdr:colOff>
      <xdr:row>16</xdr:row>
      <xdr:rowOff>4762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6467475" y="25193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endParaRPr lang="es-PE" sz="1100"/>
        </a:p>
      </xdr:txBody>
    </xdr:sp>
    <xdr:clientData/>
  </xdr:oneCellAnchor>
  <xdr:twoCellAnchor>
    <xdr:from>
      <xdr:col>0</xdr:col>
      <xdr:colOff>172437</xdr:colOff>
      <xdr:row>1</xdr:row>
      <xdr:rowOff>163972</xdr:rowOff>
    </xdr:from>
    <xdr:to>
      <xdr:col>0</xdr:col>
      <xdr:colOff>1163037</xdr:colOff>
      <xdr:row>3</xdr:row>
      <xdr:rowOff>86079</xdr:rowOff>
    </xdr:to>
    <xdr:sp macro="" textlink="">
      <xdr:nvSpPr>
        <xdr:cNvPr id="9" name="Rectángulo: esquinas redondeadas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741171-BC4B-4DBE-9DF2-62591A115584}"/>
            </a:ext>
          </a:extLst>
        </xdr:cNvPr>
        <xdr:cNvSpPr/>
      </xdr:nvSpPr>
      <xdr:spPr>
        <a:xfrm>
          <a:off x="172437" y="417972"/>
          <a:ext cx="990600" cy="28194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35277</xdr:colOff>
      <xdr:row>0</xdr:row>
      <xdr:rowOff>14112</xdr:rowOff>
    </xdr:from>
    <xdr:to>
      <xdr:col>0</xdr:col>
      <xdr:colOff>1535616</xdr:colOff>
      <xdr:row>1</xdr:row>
      <xdr:rowOff>137263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68D80F17-AC0A-4A86-B632-967B7EB8C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277" y="14112"/>
          <a:ext cx="1500339" cy="3771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66675</xdr:colOff>
      <xdr:row>75</xdr:row>
      <xdr:rowOff>4762</xdr:rowOff>
    </xdr:from>
    <xdr:ext cx="178703" cy="1831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B00-000003000000}"/>
                </a:ext>
              </a:extLst>
            </xdr:cNvPr>
            <xdr:cNvSpPr txBox="1"/>
          </xdr:nvSpPr>
          <xdr:spPr>
            <a:xfrm>
              <a:off x="371475" y="7710487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𝜇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F14168FD-0F6E-4786-81A9-5D4E6D212B1F}"/>
                </a:ext>
              </a:extLst>
            </xdr:cNvPr>
            <xdr:cNvSpPr txBox="1"/>
          </xdr:nvSpPr>
          <xdr:spPr>
            <a:xfrm>
              <a:off x="371475" y="7710487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𝛽_𝜇</a:t>
              </a:r>
              <a:endParaRPr lang="es-PE" sz="1100"/>
            </a:p>
          </xdr:txBody>
        </xdr:sp>
      </mc:Fallback>
    </mc:AlternateContent>
    <xdr:clientData/>
  </xdr:oneCellAnchor>
  <xdr:twoCellAnchor>
    <xdr:from>
      <xdr:col>0</xdr:col>
      <xdr:colOff>152400</xdr:colOff>
      <xdr:row>1</xdr:row>
      <xdr:rowOff>148409</xdr:rowOff>
    </xdr:from>
    <xdr:to>
      <xdr:col>0</xdr:col>
      <xdr:colOff>1143000</xdr:colOff>
      <xdr:row>3</xdr:row>
      <xdr:rowOff>110913</xdr:rowOff>
    </xdr:to>
    <xdr:sp macro="" textlink="">
      <xdr:nvSpPr>
        <xdr:cNvPr id="4" name="Rectángulo: esquinas redondeada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F55E68-EEEF-453E-847B-E74C4E70CE46}"/>
            </a:ext>
          </a:extLst>
        </xdr:cNvPr>
        <xdr:cNvSpPr/>
      </xdr:nvSpPr>
      <xdr:spPr>
        <a:xfrm>
          <a:off x="152400" y="399869"/>
          <a:ext cx="990600" cy="297784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1538439</xdr:colOff>
      <xdr:row>1</xdr:row>
      <xdr:rowOff>129320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37CC726-4D4F-4E6B-8F33-D3946F13C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0"/>
          <a:ext cx="1500339" cy="3807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904875</xdr:colOff>
      <xdr:row>3</xdr:row>
      <xdr:rowOff>4762</xdr:rowOff>
    </xdr:from>
    <xdr:ext cx="17312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D00-000003000000}"/>
                </a:ext>
              </a:extLst>
            </xdr:cNvPr>
            <xdr:cNvSpPr txBox="1"/>
          </xdr:nvSpPr>
          <xdr:spPr>
            <a:xfrm>
              <a:off x="1666875" y="328612"/>
              <a:ext cx="17312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s-PE" sz="1100" i="0">
                            <a:latin typeface="Cambria Math" panose="02040503050406030204" pitchFamily="18" charset="0"/>
                          </a:rPr>
                          <m:t>β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s-PE" sz="1100" i="0">
                            <a:latin typeface="Cambria Math" panose="02040503050406030204" pitchFamily="18" charset="0"/>
                          </a:rPr>
                          <m:t>e</m:t>
                        </m:r>
                      </m:sub>
                    </m:sSub>
                  </m:oMath>
                </m:oMathPara>
              </a14:m>
              <a:endParaRPr lang="es-PE" sz="1100" i="0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SpPr txBox="1"/>
          </xdr:nvSpPr>
          <xdr:spPr>
            <a:xfrm>
              <a:off x="1666875" y="328612"/>
              <a:ext cx="17312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β_e</a:t>
              </a:r>
              <a:endParaRPr lang="es-PE" sz="1100" i="0"/>
            </a:p>
          </xdr:txBody>
        </xdr:sp>
      </mc:Fallback>
    </mc:AlternateContent>
    <xdr:clientData/>
  </xdr:oneCellAnchor>
  <xdr:oneCellAnchor>
    <xdr:from>
      <xdr:col>1</xdr:col>
      <xdr:colOff>781050</xdr:colOff>
      <xdr:row>7</xdr:row>
      <xdr:rowOff>176212</xdr:rowOff>
    </xdr:from>
    <xdr:ext cx="178703" cy="1831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D00-000004000000}"/>
                </a:ext>
              </a:extLst>
            </xdr:cNvPr>
            <xdr:cNvSpPr txBox="1"/>
          </xdr:nvSpPr>
          <xdr:spPr>
            <a:xfrm>
              <a:off x="2438400" y="1509712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𝜇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D00-000004000000}"/>
                </a:ext>
              </a:extLst>
            </xdr:cNvPr>
            <xdr:cNvSpPr txBox="1"/>
          </xdr:nvSpPr>
          <xdr:spPr>
            <a:xfrm>
              <a:off x="2438400" y="1509712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𝛽_𝜇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</xdr:col>
      <xdr:colOff>424815</xdr:colOff>
      <xdr:row>9</xdr:row>
      <xdr:rowOff>160972</xdr:rowOff>
    </xdr:from>
    <xdr:ext cx="178703" cy="1831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0000000-0008-0000-0D00-000005000000}"/>
                </a:ext>
              </a:extLst>
            </xdr:cNvPr>
            <xdr:cNvSpPr txBox="1"/>
          </xdr:nvSpPr>
          <xdr:spPr>
            <a:xfrm>
              <a:off x="2131695" y="1814512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𝜇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0000000-0008-0000-0D00-000005000000}"/>
                </a:ext>
              </a:extLst>
            </xdr:cNvPr>
            <xdr:cNvSpPr txBox="1"/>
          </xdr:nvSpPr>
          <xdr:spPr>
            <a:xfrm>
              <a:off x="2131695" y="1814512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𝛽_𝜇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</xdr:col>
      <xdr:colOff>638175</xdr:colOff>
      <xdr:row>13</xdr:row>
      <xdr:rowOff>0</xdr:rowOff>
    </xdr:from>
    <xdr:ext cx="17312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D00-000006000000}"/>
                </a:ext>
              </a:extLst>
            </xdr:cNvPr>
            <xdr:cNvSpPr txBox="1"/>
          </xdr:nvSpPr>
          <xdr:spPr>
            <a:xfrm>
              <a:off x="1000125" y="3395662"/>
              <a:ext cx="17312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𝑒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FD85927-153D-4926-B368-6FFC9AC7C53F}"/>
                </a:ext>
              </a:extLst>
            </xdr:cNvPr>
            <xdr:cNvSpPr txBox="1"/>
          </xdr:nvSpPr>
          <xdr:spPr>
            <a:xfrm>
              <a:off x="1000125" y="3395662"/>
              <a:ext cx="17312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𝛽_𝑒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</xdr:col>
      <xdr:colOff>923925</xdr:colOff>
      <xdr:row>22</xdr:row>
      <xdr:rowOff>147637</xdr:rowOff>
    </xdr:from>
    <xdr:ext cx="178703" cy="1831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00000000-0008-0000-0D00-000007000000}"/>
                </a:ext>
              </a:extLst>
            </xdr:cNvPr>
            <xdr:cNvSpPr txBox="1"/>
          </xdr:nvSpPr>
          <xdr:spPr>
            <a:xfrm>
              <a:off x="1685925" y="3100387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𝜇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6179FD4D-FA6E-4FC1-99B5-D66E9EF16B77}"/>
                </a:ext>
              </a:extLst>
            </xdr:cNvPr>
            <xdr:cNvSpPr txBox="1"/>
          </xdr:nvSpPr>
          <xdr:spPr>
            <a:xfrm>
              <a:off x="1685925" y="3100387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𝛽_𝜇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</xdr:col>
      <xdr:colOff>895350</xdr:colOff>
      <xdr:row>18</xdr:row>
      <xdr:rowOff>19050</xdr:rowOff>
    </xdr:from>
    <xdr:ext cx="178703" cy="1831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00000000-0008-0000-0D00-000009000000}"/>
                </a:ext>
              </a:extLst>
            </xdr:cNvPr>
            <xdr:cNvSpPr txBox="1"/>
          </xdr:nvSpPr>
          <xdr:spPr>
            <a:xfrm>
              <a:off x="1657350" y="2609850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𝜇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8B6C481B-A526-4BC0-9925-7EABE13E7F7D}"/>
                </a:ext>
              </a:extLst>
            </xdr:cNvPr>
            <xdr:cNvSpPr txBox="1"/>
          </xdr:nvSpPr>
          <xdr:spPr>
            <a:xfrm>
              <a:off x="1657350" y="2609850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𝛽_𝜇</a:t>
              </a:r>
              <a:endParaRPr lang="es-PE" sz="1100"/>
            </a:p>
          </xdr:txBody>
        </xdr:sp>
      </mc:Fallback>
    </mc:AlternateContent>
    <xdr:clientData/>
  </xdr:oneCellAnchor>
  <xdr:twoCellAnchor>
    <xdr:from>
      <xdr:col>0</xdr:col>
      <xdr:colOff>182880</xdr:colOff>
      <xdr:row>1</xdr:row>
      <xdr:rowOff>152400</xdr:rowOff>
    </xdr:from>
    <xdr:to>
      <xdr:col>0</xdr:col>
      <xdr:colOff>1173480</xdr:colOff>
      <xdr:row>3</xdr:row>
      <xdr:rowOff>83820</xdr:rowOff>
    </xdr:to>
    <xdr:sp macro="" textlink="">
      <xdr:nvSpPr>
        <xdr:cNvPr id="12" name="Rectángulo: esquinas redondeadas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525D24-4900-4138-89AE-20A3F1FBD071}"/>
            </a:ext>
          </a:extLst>
        </xdr:cNvPr>
        <xdr:cNvSpPr/>
      </xdr:nvSpPr>
      <xdr:spPr>
        <a:xfrm>
          <a:off x="182880" y="403860"/>
          <a:ext cx="990600" cy="28194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45720</xdr:colOff>
      <xdr:row>0</xdr:row>
      <xdr:rowOff>0</xdr:rowOff>
    </xdr:from>
    <xdr:to>
      <xdr:col>0</xdr:col>
      <xdr:colOff>1546059</xdr:colOff>
      <xdr:row>1</xdr:row>
      <xdr:rowOff>125691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837B8522-2543-493D-8DFB-62D9775DC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20" y="0"/>
          <a:ext cx="1500339" cy="3771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638175</xdr:colOff>
      <xdr:row>2</xdr:row>
      <xdr:rowOff>157162</xdr:rowOff>
    </xdr:from>
    <xdr:ext cx="17312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E00-000003000000}"/>
                </a:ext>
              </a:extLst>
            </xdr:cNvPr>
            <xdr:cNvSpPr txBox="1"/>
          </xdr:nvSpPr>
          <xdr:spPr>
            <a:xfrm>
              <a:off x="638175" y="319087"/>
              <a:ext cx="17312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𝑒</m:t>
                        </m:r>
                      </m:sub>
                    </m:sSub>
                  </m:oMath>
                </m:oMathPara>
              </a14:m>
              <a:endParaRPr lang="es-PE" sz="1100" i="1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900-000003000000}"/>
                </a:ext>
              </a:extLst>
            </xdr:cNvPr>
            <xdr:cNvSpPr txBox="1"/>
          </xdr:nvSpPr>
          <xdr:spPr>
            <a:xfrm>
              <a:off x="638175" y="319087"/>
              <a:ext cx="17312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𝛽_𝑒</a:t>
              </a:r>
              <a:endParaRPr lang="es-PE" sz="1100" i="1"/>
            </a:p>
          </xdr:txBody>
        </xdr:sp>
      </mc:Fallback>
    </mc:AlternateContent>
    <xdr:clientData/>
  </xdr:oneCellAnchor>
  <xdr:oneCellAnchor>
    <xdr:from>
      <xdr:col>2</xdr:col>
      <xdr:colOff>561975</xdr:colOff>
      <xdr:row>8</xdr:row>
      <xdr:rowOff>157162</xdr:rowOff>
    </xdr:from>
    <xdr:ext cx="178703" cy="1831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E00-000004000000}"/>
                </a:ext>
              </a:extLst>
            </xdr:cNvPr>
            <xdr:cNvSpPr txBox="1"/>
          </xdr:nvSpPr>
          <xdr:spPr>
            <a:xfrm>
              <a:off x="561975" y="966787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𝜇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1EF16E59-7B12-4023-B56B-115164FF6862}"/>
                </a:ext>
              </a:extLst>
            </xdr:cNvPr>
            <xdr:cNvSpPr txBox="1"/>
          </xdr:nvSpPr>
          <xdr:spPr>
            <a:xfrm>
              <a:off x="561975" y="966787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𝛽_𝜇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2</xdr:col>
      <xdr:colOff>552450</xdr:colOff>
      <xdr:row>10</xdr:row>
      <xdr:rowOff>147637</xdr:rowOff>
    </xdr:from>
    <xdr:ext cx="178703" cy="1831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0000000-0008-0000-0E00-000005000000}"/>
                </a:ext>
              </a:extLst>
            </xdr:cNvPr>
            <xdr:cNvSpPr txBox="1"/>
          </xdr:nvSpPr>
          <xdr:spPr>
            <a:xfrm>
              <a:off x="1314450" y="1604962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𝜇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0000000-0008-0000-0900-000005000000}"/>
                </a:ext>
              </a:extLst>
            </xdr:cNvPr>
            <xdr:cNvSpPr txBox="1"/>
          </xdr:nvSpPr>
          <xdr:spPr>
            <a:xfrm>
              <a:off x="1314450" y="1604962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𝛽_𝜇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2</xdr:col>
      <xdr:colOff>26670</xdr:colOff>
      <xdr:row>14</xdr:row>
      <xdr:rowOff>147637</xdr:rowOff>
    </xdr:from>
    <xdr:ext cx="178703" cy="1831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E00-000006000000}"/>
                </a:ext>
              </a:extLst>
            </xdr:cNvPr>
            <xdr:cNvSpPr txBox="1"/>
          </xdr:nvSpPr>
          <xdr:spPr>
            <a:xfrm>
              <a:off x="1733550" y="2563177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𝜇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E00-000006000000}"/>
                </a:ext>
              </a:extLst>
            </xdr:cNvPr>
            <xdr:cNvSpPr txBox="1"/>
          </xdr:nvSpPr>
          <xdr:spPr>
            <a:xfrm>
              <a:off x="1733550" y="2563177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𝛽_𝜇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2</xdr:col>
      <xdr:colOff>47625</xdr:colOff>
      <xdr:row>23</xdr:row>
      <xdr:rowOff>14287</xdr:rowOff>
    </xdr:from>
    <xdr:ext cx="178703" cy="1831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00000000-0008-0000-0E00-000007000000}"/>
                </a:ext>
              </a:extLst>
            </xdr:cNvPr>
            <xdr:cNvSpPr txBox="1"/>
          </xdr:nvSpPr>
          <xdr:spPr>
            <a:xfrm>
              <a:off x="809625" y="3614737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𝜇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00000000-0008-0000-0900-000007000000}"/>
                </a:ext>
              </a:extLst>
            </xdr:cNvPr>
            <xdr:cNvSpPr txBox="1"/>
          </xdr:nvSpPr>
          <xdr:spPr>
            <a:xfrm>
              <a:off x="809625" y="3614737"/>
              <a:ext cx="178703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𝛽_𝜇</a:t>
              </a:r>
              <a:endParaRPr lang="es-PE" sz="1100"/>
            </a:p>
          </xdr:txBody>
        </xdr:sp>
      </mc:Fallback>
    </mc:AlternateContent>
    <xdr:clientData/>
  </xdr:oneCellAnchor>
  <xdr:twoCellAnchor>
    <xdr:from>
      <xdr:col>0</xdr:col>
      <xdr:colOff>144780</xdr:colOff>
      <xdr:row>1</xdr:row>
      <xdr:rowOff>152400</xdr:rowOff>
    </xdr:from>
    <xdr:to>
      <xdr:col>1</xdr:col>
      <xdr:colOff>213360</xdr:colOff>
      <xdr:row>3</xdr:row>
      <xdr:rowOff>83820</xdr:rowOff>
    </xdr:to>
    <xdr:sp macro="" textlink="">
      <xdr:nvSpPr>
        <xdr:cNvPr id="11" name="Rectángulo: esquinas redondeadas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2B8CFB-4353-43FE-BF47-48BB64660A4B}"/>
            </a:ext>
          </a:extLst>
        </xdr:cNvPr>
        <xdr:cNvSpPr/>
      </xdr:nvSpPr>
      <xdr:spPr>
        <a:xfrm>
          <a:off x="144780" y="403860"/>
          <a:ext cx="990600" cy="28194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7620</xdr:colOff>
      <xdr:row>0</xdr:row>
      <xdr:rowOff>0</xdr:rowOff>
    </xdr:from>
    <xdr:to>
      <xdr:col>1</xdr:col>
      <xdr:colOff>585939</xdr:colOff>
      <xdr:row>1</xdr:row>
      <xdr:rowOff>125691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B503E06B-86DE-4D8D-9ABB-6FDEDE6DB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" y="0"/>
          <a:ext cx="1500339" cy="37715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47625</xdr:colOff>
      <xdr:row>20</xdr:row>
      <xdr:rowOff>23812</xdr:rowOff>
    </xdr:from>
    <xdr:ext cx="17312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F00-000003000000}"/>
                </a:ext>
              </a:extLst>
            </xdr:cNvPr>
            <xdr:cNvSpPr txBox="1"/>
          </xdr:nvSpPr>
          <xdr:spPr>
            <a:xfrm>
              <a:off x="809625" y="3014662"/>
              <a:ext cx="17312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𝑒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A00-000003000000}"/>
                </a:ext>
              </a:extLst>
            </xdr:cNvPr>
            <xdr:cNvSpPr txBox="1"/>
          </xdr:nvSpPr>
          <xdr:spPr>
            <a:xfrm>
              <a:off x="809625" y="3014662"/>
              <a:ext cx="17312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𝛽_𝑒</a:t>
              </a:r>
              <a:endParaRPr lang="es-PE" sz="1100"/>
            </a:p>
          </xdr:txBody>
        </xdr:sp>
      </mc:Fallback>
    </mc:AlternateContent>
    <xdr:clientData/>
  </xdr:oneCellAnchor>
  <xdr:twoCellAnchor>
    <xdr:from>
      <xdr:col>0</xdr:col>
      <xdr:colOff>167640</xdr:colOff>
      <xdr:row>1</xdr:row>
      <xdr:rowOff>152400</xdr:rowOff>
    </xdr:from>
    <xdr:to>
      <xdr:col>0</xdr:col>
      <xdr:colOff>1158240</xdr:colOff>
      <xdr:row>3</xdr:row>
      <xdr:rowOff>76200</xdr:rowOff>
    </xdr:to>
    <xdr:sp macro="" textlink="">
      <xdr:nvSpPr>
        <xdr:cNvPr id="7" name="Rectángulo: esquinas redondeadas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2B2B29-16D9-4ED6-97DB-28F2FCF7D2B8}"/>
            </a:ext>
          </a:extLst>
        </xdr:cNvPr>
        <xdr:cNvSpPr/>
      </xdr:nvSpPr>
      <xdr:spPr>
        <a:xfrm>
          <a:off x="167640" y="403860"/>
          <a:ext cx="990600" cy="28194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30480</xdr:colOff>
      <xdr:row>0</xdr:row>
      <xdr:rowOff>0</xdr:rowOff>
    </xdr:from>
    <xdr:to>
      <xdr:col>1</xdr:col>
      <xdr:colOff>303999</xdr:colOff>
      <xdr:row>1</xdr:row>
      <xdr:rowOff>125691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B747F4E-3537-4179-9997-E85FC35A4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80" y="0"/>
          <a:ext cx="1500339" cy="377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VPN@11.99%25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VPN@13.39%25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hyperlink" Target="mailto:VPN@15.14%25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PN@8.91%25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VPN@19.28%25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VPN@9.18%25" TargetMode="External"/><Relationship Id="rId1" Type="http://schemas.openxmlformats.org/officeDocument/2006/relationships/hyperlink" Target="mailto:VPN@9.18%25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VPN@11%25" TargetMode="External"/><Relationship Id="rId1" Type="http://schemas.openxmlformats.org/officeDocument/2006/relationships/hyperlink" Target="mailto:VPN@11%25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54"/>
  <sheetViews>
    <sheetView zoomScaleNormal="100" workbookViewId="0">
      <selection activeCell="C15" sqref="C15:G15"/>
    </sheetView>
  </sheetViews>
  <sheetFormatPr baseColWidth="10" defaultColWidth="11.5546875" defaultRowHeight="14.4" x14ac:dyDescent="0.3"/>
  <cols>
    <col min="1" max="1" width="11.5546875" style="2"/>
    <col min="2" max="2" width="14.6640625" style="2" customWidth="1"/>
    <col min="3" max="7" width="11.5546875" style="2"/>
    <col min="8" max="8" width="14.6640625" style="2" customWidth="1"/>
    <col min="9" max="16384" width="11.5546875" style="2"/>
  </cols>
  <sheetData>
    <row r="1" spans="2:9" x14ac:dyDescent="0.3">
      <c r="B1" s="1"/>
      <c r="C1" s="1"/>
      <c r="D1" s="1"/>
      <c r="E1" s="1"/>
      <c r="F1" s="1"/>
      <c r="G1" s="1"/>
      <c r="H1" s="1"/>
    </row>
    <row r="2" spans="2:9" ht="19.95" customHeight="1" x14ac:dyDescent="0.3">
      <c r="B2" s="1"/>
      <c r="C2" s="1"/>
      <c r="D2" s="1"/>
      <c r="E2" s="1"/>
      <c r="F2" s="1"/>
      <c r="G2" s="1"/>
      <c r="H2" s="1"/>
    </row>
    <row r="3" spans="2:9" ht="24" customHeight="1" x14ac:dyDescent="0.3">
      <c r="B3" s="1"/>
      <c r="C3" s="611" t="s">
        <v>393</v>
      </c>
      <c r="D3" s="612"/>
      <c r="E3" s="612"/>
      <c r="F3" s="612"/>
      <c r="G3" s="612"/>
      <c r="H3" s="1"/>
    </row>
    <row r="4" spans="2:9" ht="27" customHeight="1" x14ac:dyDescent="0.3">
      <c r="B4" s="613" t="s">
        <v>394</v>
      </c>
      <c r="C4" s="613"/>
      <c r="D4" s="613"/>
      <c r="E4" s="613"/>
      <c r="F4" s="613"/>
      <c r="G4" s="613"/>
      <c r="H4" s="613"/>
    </row>
    <row r="5" spans="2:9" ht="13.2" customHeight="1" x14ac:dyDescent="0.3">
      <c r="B5" s="614" t="s">
        <v>395</v>
      </c>
      <c r="C5" s="614"/>
      <c r="D5" s="614"/>
      <c r="E5" s="614"/>
      <c r="F5" s="614"/>
      <c r="G5" s="614"/>
      <c r="H5" s="614"/>
    </row>
    <row r="6" spans="2:9" ht="7.95" customHeight="1" x14ac:dyDescent="0.3">
      <c r="B6" s="614"/>
      <c r="C6" s="614"/>
      <c r="D6" s="614"/>
      <c r="E6" s="614"/>
      <c r="F6" s="614"/>
      <c r="G6" s="614"/>
      <c r="H6" s="614"/>
    </row>
    <row r="7" spans="2:9" ht="7.2" customHeight="1" x14ac:dyDescent="0.3">
      <c r="B7" s="3"/>
      <c r="C7" s="615" t="s">
        <v>396</v>
      </c>
      <c r="D7" s="615"/>
      <c r="E7" s="615"/>
      <c r="F7" s="615"/>
      <c r="G7" s="615"/>
      <c r="H7" s="3"/>
    </row>
    <row r="8" spans="2:9" ht="7.2" customHeight="1" x14ac:dyDescent="0.3">
      <c r="B8" s="3"/>
      <c r="C8" s="615"/>
      <c r="D8" s="615"/>
      <c r="E8" s="615"/>
      <c r="F8" s="615"/>
      <c r="G8" s="615"/>
      <c r="H8" s="3"/>
    </row>
    <row r="9" spans="2:9" ht="7.2" customHeight="1" x14ac:dyDescent="0.3">
      <c r="B9" s="3"/>
      <c r="C9" s="615"/>
      <c r="D9" s="615"/>
      <c r="E9" s="615"/>
      <c r="F9" s="615"/>
      <c r="G9" s="615"/>
      <c r="H9" s="3"/>
    </row>
    <row r="10" spans="2:9" ht="13.2" customHeight="1" x14ac:dyDescent="0.3">
      <c r="B10" s="1"/>
      <c r="C10" s="1"/>
      <c r="D10" s="1"/>
      <c r="E10" s="1"/>
      <c r="F10" s="1"/>
      <c r="G10" s="1"/>
      <c r="H10" s="1"/>
    </row>
    <row r="11" spans="2:9" x14ac:dyDescent="0.3">
      <c r="B11" s="1"/>
      <c r="C11" s="609" t="s">
        <v>397</v>
      </c>
      <c r="D11" s="609"/>
      <c r="E11" s="609"/>
      <c r="F11" s="609"/>
      <c r="G11" s="609"/>
      <c r="H11" s="1"/>
    </row>
    <row r="12" spans="2:9" ht="9" customHeight="1" x14ac:dyDescent="0.3">
      <c r="B12" s="1"/>
      <c r="C12" s="4"/>
      <c r="D12" s="4"/>
      <c r="E12" s="4"/>
      <c r="F12" s="4"/>
      <c r="G12" s="4"/>
      <c r="H12" s="1"/>
    </row>
    <row r="13" spans="2:9" x14ac:dyDescent="0.3">
      <c r="B13" s="1"/>
      <c r="C13" s="609" t="s">
        <v>398</v>
      </c>
      <c r="D13" s="609"/>
      <c r="E13" s="609"/>
      <c r="F13" s="609"/>
      <c r="G13" s="609"/>
      <c r="H13" s="1"/>
    </row>
    <row r="14" spans="2:9" ht="9" customHeight="1" x14ac:dyDescent="0.3">
      <c r="B14" s="1"/>
      <c r="C14" s="4"/>
      <c r="D14" s="4"/>
      <c r="E14" s="4"/>
      <c r="F14" s="4"/>
      <c r="G14" s="4"/>
      <c r="H14" s="1"/>
    </row>
    <row r="15" spans="2:9" x14ac:dyDescent="0.3">
      <c r="B15" s="1"/>
      <c r="C15" s="609" t="s">
        <v>399</v>
      </c>
      <c r="D15" s="609"/>
      <c r="E15" s="609"/>
      <c r="F15" s="609"/>
      <c r="G15" s="609"/>
      <c r="H15" s="1"/>
      <c r="I15" s="5"/>
    </row>
    <row r="16" spans="2:9" ht="9" customHeight="1" x14ac:dyDescent="0.3">
      <c r="B16" s="1"/>
      <c r="C16" s="4"/>
      <c r="D16" s="4"/>
      <c r="E16" s="4"/>
      <c r="F16" s="4"/>
      <c r="G16" s="4"/>
      <c r="H16" s="1"/>
    </row>
    <row r="17" spans="2:8" x14ac:dyDescent="0.3">
      <c r="B17" s="1"/>
      <c r="C17" s="609" t="s">
        <v>400</v>
      </c>
      <c r="D17" s="609"/>
      <c r="E17" s="609"/>
      <c r="F17" s="609"/>
      <c r="G17" s="609"/>
      <c r="H17" s="1"/>
    </row>
    <row r="18" spans="2:8" ht="9" customHeight="1" x14ac:dyDescent="0.3">
      <c r="B18" s="1"/>
      <c r="C18" s="4"/>
      <c r="D18" s="4"/>
      <c r="E18" s="4"/>
      <c r="F18" s="4"/>
      <c r="G18" s="4"/>
      <c r="H18" s="1"/>
    </row>
    <row r="19" spans="2:8" x14ac:dyDescent="0.3">
      <c r="B19" s="1"/>
      <c r="C19" s="609" t="s">
        <v>456</v>
      </c>
      <c r="D19" s="609"/>
      <c r="E19" s="609"/>
      <c r="F19" s="609"/>
      <c r="G19" s="609"/>
      <c r="H19" s="1"/>
    </row>
    <row r="20" spans="2:8" ht="9" customHeight="1" x14ac:dyDescent="0.3">
      <c r="B20" s="1"/>
      <c r="C20" s="4"/>
      <c r="D20" s="4"/>
      <c r="E20" s="4"/>
      <c r="F20" s="4"/>
      <c r="G20" s="4"/>
      <c r="H20" s="1"/>
    </row>
    <row r="21" spans="2:8" x14ac:dyDescent="0.3">
      <c r="B21" s="1"/>
      <c r="C21" s="609" t="s">
        <v>457</v>
      </c>
      <c r="D21" s="609"/>
      <c r="E21" s="609"/>
      <c r="F21" s="609"/>
      <c r="G21" s="609"/>
      <c r="H21" s="1"/>
    </row>
    <row r="22" spans="2:8" ht="9" customHeight="1" x14ac:dyDescent="0.3">
      <c r="B22" s="1"/>
      <c r="C22" s="4"/>
      <c r="D22" s="4"/>
      <c r="E22" s="4"/>
      <c r="F22" s="4"/>
      <c r="G22" s="4"/>
      <c r="H22" s="1"/>
    </row>
    <row r="23" spans="2:8" x14ac:dyDescent="0.3">
      <c r="B23" s="1"/>
      <c r="C23" s="609" t="s">
        <v>458</v>
      </c>
      <c r="D23" s="609"/>
      <c r="E23" s="609"/>
      <c r="F23" s="609"/>
      <c r="G23" s="609"/>
      <c r="H23" s="1"/>
    </row>
    <row r="24" spans="2:8" ht="9" customHeight="1" x14ac:dyDescent="0.3">
      <c r="B24" s="1"/>
      <c r="C24" s="4"/>
      <c r="D24" s="4"/>
      <c r="E24" s="4"/>
      <c r="F24" s="4"/>
      <c r="G24" s="4"/>
      <c r="H24" s="1"/>
    </row>
    <row r="25" spans="2:8" x14ac:dyDescent="0.3">
      <c r="B25" s="1"/>
      <c r="C25" s="609" t="s">
        <v>459</v>
      </c>
      <c r="D25" s="609"/>
      <c r="E25" s="609"/>
      <c r="F25" s="609"/>
      <c r="G25" s="609"/>
      <c r="H25" s="1"/>
    </row>
    <row r="26" spans="2:8" ht="9" customHeight="1" x14ac:dyDescent="0.3">
      <c r="B26" s="1"/>
      <c r="C26" s="4"/>
      <c r="D26" s="4"/>
      <c r="E26" s="4"/>
      <c r="F26" s="4"/>
      <c r="G26" s="4"/>
      <c r="H26" s="1"/>
    </row>
    <row r="27" spans="2:8" x14ac:dyDescent="0.3">
      <c r="B27" s="1"/>
      <c r="C27" s="609" t="s">
        <v>460</v>
      </c>
      <c r="D27" s="609"/>
      <c r="E27" s="609"/>
      <c r="F27" s="609"/>
      <c r="G27" s="609"/>
      <c r="H27" s="1"/>
    </row>
    <row r="28" spans="2:8" ht="9" customHeight="1" x14ac:dyDescent="0.3">
      <c r="B28" s="1"/>
      <c r="C28" s="4"/>
      <c r="D28" s="4"/>
      <c r="E28" s="4"/>
      <c r="F28" s="4"/>
      <c r="G28" s="4"/>
      <c r="H28" s="1"/>
    </row>
    <row r="29" spans="2:8" x14ac:dyDescent="0.3">
      <c r="B29" s="1"/>
      <c r="C29" s="609" t="s">
        <v>461</v>
      </c>
      <c r="D29" s="609"/>
      <c r="E29" s="609"/>
      <c r="F29" s="609"/>
      <c r="G29" s="609"/>
      <c r="H29" s="1"/>
    </row>
    <row r="30" spans="2:8" ht="9" customHeight="1" x14ac:dyDescent="0.3">
      <c r="B30" s="1"/>
      <c r="C30" s="4"/>
      <c r="D30" s="4"/>
      <c r="E30" s="4"/>
      <c r="F30" s="4"/>
      <c r="G30" s="4"/>
      <c r="H30" s="1"/>
    </row>
    <row r="31" spans="2:8" x14ac:dyDescent="0.3">
      <c r="B31" s="1"/>
      <c r="C31" s="609" t="s">
        <v>462</v>
      </c>
      <c r="D31" s="609"/>
      <c r="E31" s="609"/>
      <c r="F31" s="609"/>
      <c r="G31" s="609"/>
      <c r="H31" s="1"/>
    </row>
    <row r="32" spans="2:8" ht="9" customHeight="1" x14ac:dyDescent="0.3">
      <c r="B32" s="1"/>
      <c r="C32" s="4"/>
      <c r="D32" s="4"/>
      <c r="E32" s="4"/>
      <c r="F32" s="4"/>
      <c r="G32" s="4"/>
      <c r="H32" s="1"/>
    </row>
    <row r="33" spans="2:8" x14ac:dyDescent="0.3">
      <c r="B33" s="1"/>
      <c r="C33" s="609" t="s">
        <v>463</v>
      </c>
      <c r="D33" s="609"/>
      <c r="E33" s="609"/>
      <c r="F33" s="609"/>
      <c r="G33" s="609"/>
      <c r="H33" s="1"/>
    </row>
    <row r="34" spans="2:8" ht="9" customHeight="1" x14ac:dyDescent="0.3">
      <c r="B34" s="1"/>
      <c r="C34" s="4"/>
      <c r="D34" s="4"/>
      <c r="E34" s="4"/>
      <c r="F34" s="4"/>
      <c r="G34" s="4"/>
      <c r="H34" s="1"/>
    </row>
    <row r="35" spans="2:8" x14ac:dyDescent="0.3">
      <c r="B35" s="1"/>
      <c r="C35" s="609" t="s">
        <v>464</v>
      </c>
      <c r="D35" s="609"/>
      <c r="E35" s="609"/>
      <c r="F35" s="609"/>
      <c r="G35" s="609"/>
      <c r="H35" s="1"/>
    </row>
    <row r="36" spans="2:8" ht="9" customHeight="1" x14ac:dyDescent="0.3">
      <c r="B36" s="1"/>
      <c r="C36" s="4"/>
      <c r="D36" s="4"/>
      <c r="E36" s="4"/>
      <c r="F36" s="4"/>
      <c r="G36" s="4"/>
      <c r="H36" s="1"/>
    </row>
    <row r="37" spans="2:8" x14ac:dyDescent="0.3">
      <c r="B37" s="1"/>
      <c r="C37" s="609" t="s">
        <v>465</v>
      </c>
      <c r="D37" s="609"/>
      <c r="E37" s="609"/>
      <c r="F37" s="609"/>
      <c r="G37" s="609"/>
      <c r="H37" s="1"/>
    </row>
    <row r="38" spans="2:8" ht="9" customHeight="1" x14ac:dyDescent="0.3">
      <c r="B38" s="1"/>
      <c r="C38" s="4"/>
      <c r="D38" s="4"/>
      <c r="E38" s="4"/>
      <c r="F38" s="4"/>
      <c r="G38" s="4"/>
      <c r="H38" s="1"/>
    </row>
    <row r="39" spans="2:8" x14ac:dyDescent="0.3">
      <c r="B39" s="1"/>
      <c r="C39" s="609" t="s">
        <v>471</v>
      </c>
      <c r="D39" s="609"/>
      <c r="E39" s="609"/>
      <c r="F39" s="609"/>
      <c r="G39" s="609"/>
      <c r="H39" s="1"/>
    </row>
    <row r="40" spans="2:8" ht="9" customHeight="1" x14ac:dyDescent="0.3">
      <c r="B40" s="1"/>
      <c r="C40" s="4"/>
      <c r="D40" s="4"/>
      <c r="E40" s="4"/>
      <c r="F40" s="4"/>
      <c r="G40" s="4"/>
      <c r="H40" s="1"/>
    </row>
    <row r="41" spans="2:8" x14ac:dyDescent="0.3">
      <c r="B41" s="1"/>
      <c r="C41" s="609" t="s">
        <v>466</v>
      </c>
      <c r="D41" s="609"/>
      <c r="E41" s="609"/>
      <c r="F41" s="609"/>
      <c r="G41" s="609"/>
      <c r="H41" s="1"/>
    </row>
    <row r="42" spans="2:8" ht="9" customHeight="1" x14ac:dyDescent="0.3">
      <c r="B42" s="1"/>
      <c r="C42" s="4"/>
      <c r="D42" s="4"/>
      <c r="E42" s="4"/>
      <c r="F42" s="4"/>
      <c r="G42" s="4"/>
      <c r="H42" s="1"/>
    </row>
    <row r="43" spans="2:8" x14ac:dyDescent="0.3">
      <c r="B43" s="1"/>
      <c r="C43" s="609" t="s">
        <v>467</v>
      </c>
      <c r="D43" s="609"/>
      <c r="E43" s="609"/>
      <c r="F43" s="609"/>
      <c r="G43" s="609"/>
      <c r="H43" s="1"/>
    </row>
    <row r="44" spans="2:8" ht="9" customHeight="1" x14ac:dyDescent="0.3">
      <c r="B44" s="1"/>
      <c r="C44" s="4"/>
      <c r="D44" s="4"/>
      <c r="E44" s="4"/>
      <c r="F44" s="4"/>
      <c r="G44" s="4"/>
      <c r="H44" s="1"/>
    </row>
    <row r="45" spans="2:8" x14ac:dyDescent="0.3">
      <c r="B45" s="1"/>
      <c r="C45" s="609" t="s">
        <v>468</v>
      </c>
      <c r="D45" s="609"/>
      <c r="E45" s="609"/>
      <c r="F45" s="609"/>
      <c r="G45" s="609"/>
      <c r="H45" s="1"/>
    </row>
    <row r="46" spans="2:8" ht="9" customHeight="1" x14ac:dyDescent="0.3">
      <c r="B46" s="1"/>
      <c r="C46" s="4"/>
      <c r="D46" s="4"/>
      <c r="E46" s="4"/>
      <c r="F46" s="4"/>
      <c r="G46" s="4"/>
      <c r="H46" s="1"/>
    </row>
    <row r="47" spans="2:8" x14ac:dyDescent="0.3">
      <c r="B47" s="1"/>
      <c r="C47" s="609" t="s">
        <v>469</v>
      </c>
      <c r="D47" s="609"/>
      <c r="E47" s="609"/>
      <c r="F47" s="609"/>
      <c r="G47" s="609"/>
      <c r="H47" s="1"/>
    </row>
    <row r="48" spans="2:8" ht="9" customHeight="1" x14ac:dyDescent="0.3">
      <c r="B48" s="1"/>
      <c r="C48" s="4"/>
      <c r="D48" s="4"/>
      <c r="E48" s="4"/>
      <c r="F48" s="4"/>
      <c r="G48" s="4"/>
      <c r="H48" s="1"/>
    </row>
    <row r="49" spans="2:8" x14ac:dyDescent="0.3">
      <c r="B49" s="1"/>
      <c r="C49" s="609" t="s">
        <v>470</v>
      </c>
      <c r="D49" s="609"/>
      <c r="E49" s="609"/>
      <c r="F49" s="609"/>
      <c r="G49" s="609"/>
      <c r="H49" s="1"/>
    </row>
    <row r="50" spans="2:8" ht="9" customHeight="1" x14ac:dyDescent="0.3">
      <c r="B50" s="1"/>
      <c r="C50" s="4"/>
      <c r="D50" s="4"/>
      <c r="E50" s="4"/>
      <c r="F50" s="4"/>
      <c r="G50" s="4"/>
      <c r="H50" s="1"/>
    </row>
    <row r="51" spans="2:8" x14ac:dyDescent="0.3">
      <c r="B51" s="1"/>
      <c r="C51" s="610"/>
      <c r="D51" s="610"/>
      <c r="E51" s="610"/>
      <c r="F51" s="610"/>
      <c r="G51" s="610"/>
      <c r="H51" s="1"/>
    </row>
    <row r="52" spans="2:8" x14ac:dyDescent="0.3">
      <c r="B52" s="1"/>
      <c r="C52" s="6"/>
      <c r="D52" s="6"/>
      <c r="E52" s="6"/>
      <c r="F52" s="6"/>
      <c r="G52" s="6"/>
      <c r="H52" s="1"/>
    </row>
    <row r="53" spans="2:8" x14ac:dyDescent="0.3">
      <c r="B53" s="1"/>
      <c r="C53" s="1"/>
      <c r="D53" s="1"/>
      <c r="E53" s="1"/>
      <c r="F53" s="1"/>
      <c r="G53" s="1"/>
      <c r="H53" s="1"/>
    </row>
    <row r="54" spans="2:8" x14ac:dyDescent="0.3">
      <c r="B54" s="1"/>
      <c r="C54" s="1"/>
      <c r="D54" s="1"/>
      <c r="E54" s="1"/>
      <c r="F54" s="1"/>
      <c r="G54" s="1"/>
      <c r="H54" s="1"/>
    </row>
  </sheetData>
  <sheetProtection algorithmName="SHA-512" hashValue="zydoFnFTmPS4wekoaJt133x1lPMQSLXLmLMa8r4p8ajADipg6shPUbmED7AnYfOGatf3enTQQD2eIy6Kr1+RBA==" saltValue="m5acwXLpE4dBWRYuoFXAEA==" spinCount="100000" sheet="1" objects="1" scenarios="1"/>
  <mergeCells count="26">
    <mergeCell ref="C11:G11"/>
    <mergeCell ref="C3:G3"/>
    <mergeCell ref="B4:H4"/>
    <mergeCell ref="B5:H5"/>
    <mergeCell ref="B6:H6"/>
    <mergeCell ref="C7:G9"/>
    <mergeCell ref="C35:G35"/>
    <mergeCell ref="C13:G13"/>
    <mergeCell ref="C15:G15"/>
    <mergeCell ref="C17:G17"/>
    <mergeCell ref="C19:G19"/>
    <mergeCell ref="C21:G21"/>
    <mergeCell ref="C23:G23"/>
    <mergeCell ref="C25:G25"/>
    <mergeCell ref="C27:G27"/>
    <mergeCell ref="C29:G29"/>
    <mergeCell ref="C31:G31"/>
    <mergeCell ref="C33:G33"/>
    <mergeCell ref="C49:G49"/>
    <mergeCell ref="C51:G51"/>
    <mergeCell ref="C37:G37"/>
    <mergeCell ref="C39:G39"/>
    <mergeCell ref="C41:G41"/>
    <mergeCell ref="C43:G43"/>
    <mergeCell ref="C45:G45"/>
    <mergeCell ref="C47:G47"/>
  </mergeCells>
  <hyperlinks>
    <hyperlink ref="C11:G11" location="'Ejercicio 1'!A1" display="1. El proyecto de Restaurantes El Piloto" xr:uid="{00000000-0004-0000-0000-000000000000}"/>
    <hyperlink ref="C13:G13" location="'Ejercicio 2'!A1" display="2. El nuevo proyecto de un grupo de inversionistas" xr:uid="{00000000-0004-0000-0000-000001000000}"/>
    <hyperlink ref="C15:G15" location="'Ejercicio 3'!A1" display="3. La cobertura para asientos de vehículos" xr:uid="{00000000-0004-0000-0000-000002000000}"/>
    <hyperlink ref="C17:G17" location="'Ejercicio 4'!A1" display="4. El proyecto de fabricación de relojes" xr:uid="{00000000-0004-0000-0000-000003000000}"/>
    <hyperlink ref="C19:G19" location="'Ejercicio 5'!A1" display="5. La evaluación inconclusa de un nuevo proyecto industrial" xr:uid="{00000000-0004-0000-0000-000004000000}"/>
    <hyperlink ref="C21:G21" location="'Ejercicio 6'!A1" display="6. El nuevo proyecto del Banco del Ocio" xr:uid="{00000000-0004-0000-0000-000005000000}"/>
    <hyperlink ref="C23:G23" location="'Ejercicio 7'!A1" display="7. La tasa de descuento de un nuevo proyecto" xr:uid="{00000000-0004-0000-0000-000006000000}"/>
    <hyperlink ref="C25:G25" location="'Ejercicio 8'!A1" display="8. La nueva línea de radares de DEI Inc." xr:uid="{00000000-0004-0000-0000-000007000000}"/>
    <hyperlink ref="C27:G27" location="'Ejercicio 9'!A1" display="9. El valor de mercado de Trafalgar SA" xr:uid="{00000000-0004-0000-0000-000008000000}"/>
    <hyperlink ref="C29:G29" location="'Ejercicio 10'!A1" display="10. La venta online de CD y DVD de 4U Music Store" xr:uid="{00000000-0004-0000-0000-000009000000}"/>
    <hyperlink ref="C31:G31" location="'Ejercicio 11'!A1" display="11. El proyecto de investigación y desarrollo de una nueva medicina" xr:uid="{00000000-0004-0000-0000-00000A000000}"/>
    <hyperlink ref="C33:G33" location="'Ejercicio 12'!A1" display="12. El proyecto local de una empresa americana" xr:uid="{00000000-0004-0000-0000-00000B000000}"/>
    <hyperlink ref="C35:G35" location="'Ejercicio 13'!A1" display="13. El proyecto industrial de una mype" xr:uid="{00000000-0004-0000-0000-00000C000000}"/>
    <hyperlink ref="C37:G37" location="'Ejercicio 14'!A1" display="14. El plan piloto de Olive Garden en el Perú" xr:uid="{00000000-0004-0000-0000-00000D000000}"/>
    <hyperlink ref="C39:G39" location="'Ejercicio 15'!A1" display="15. La producción y ventas de teclado bluetooth de MKP" xr:uid="{00000000-0004-0000-0000-00000E000000}"/>
    <hyperlink ref="C41:G41" location="'Ejercicio 16'!A1" display="16. La tasa de descuento de Aceros" xr:uid="{00000000-0004-0000-0000-00000F000000}"/>
    <hyperlink ref="C43:G43" location="'Ejercicio 17'!A1" display="17. La nueva línea de producción de J. Smythe, Inc." xr:uid="{00000000-0004-0000-0000-000010000000}"/>
    <hyperlink ref="C45:G45" location="'Ejercicio 18'!A1" display="18. El nuevo sistema de procesamientos de datos de Nisac" xr:uid="{00000000-0004-0000-0000-000011000000}"/>
    <hyperlink ref="C47:G47" location="'Ejercicio 19'!A1" display="19. El proyecto de hidrocarburos en Argentina" xr:uid="{00000000-0004-0000-0000-000012000000}"/>
    <hyperlink ref="C49:G49" location="'Ejercicio 20'!A1" display="20. El proyecto de concesión de una autopista" xr:uid="{00000000-0004-0000-0000-000013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52"/>
  <sheetViews>
    <sheetView zoomScaleNormal="100" workbookViewId="0">
      <selection activeCell="G49" sqref="G49"/>
    </sheetView>
  </sheetViews>
  <sheetFormatPr baseColWidth="10" defaultRowHeight="13.8" x14ac:dyDescent="0.25"/>
  <cols>
    <col min="1" max="1" width="17.109375" style="86" customWidth="1"/>
    <col min="2" max="2" width="7.88671875" style="86" customWidth="1"/>
    <col min="3" max="3" width="24.88671875" style="86" customWidth="1"/>
    <col min="4" max="4" width="17.109375" style="86" bestFit="1" customWidth="1"/>
    <col min="5" max="5" width="10" style="86" customWidth="1"/>
    <col min="6" max="6" width="12" style="86" customWidth="1"/>
    <col min="7" max="7" width="11.6640625" style="86" bestFit="1" customWidth="1"/>
    <col min="8" max="8" width="11.44140625" style="86"/>
    <col min="9" max="9" width="2" style="86" bestFit="1" customWidth="1"/>
    <col min="10" max="10" width="2.109375" style="86" bestFit="1" customWidth="1"/>
    <col min="11" max="11" width="17.44140625" style="86" bestFit="1" customWidth="1"/>
    <col min="12" max="258" width="11.44140625" style="86"/>
    <col min="259" max="259" width="24.88671875" style="86" customWidth="1"/>
    <col min="260" max="261" width="11.44140625" style="86"/>
    <col min="262" max="262" width="12" style="86" customWidth="1"/>
    <col min="263" max="265" width="11.44140625" style="86"/>
    <col min="266" max="266" width="14.5546875" style="86" customWidth="1"/>
    <col min="267" max="514" width="11.44140625" style="86"/>
    <col min="515" max="515" width="24.88671875" style="86" customWidth="1"/>
    <col min="516" max="517" width="11.44140625" style="86"/>
    <col min="518" max="518" width="12" style="86" customWidth="1"/>
    <col min="519" max="521" width="11.44140625" style="86"/>
    <col min="522" max="522" width="14.5546875" style="86" customWidth="1"/>
    <col min="523" max="770" width="11.44140625" style="86"/>
    <col min="771" max="771" width="24.88671875" style="86" customWidth="1"/>
    <col min="772" max="773" width="11.44140625" style="86"/>
    <col min="774" max="774" width="12" style="86" customWidth="1"/>
    <col min="775" max="777" width="11.44140625" style="86"/>
    <col min="778" max="778" width="14.5546875" style="86" customWidth="1"/>
    <col min="779" max="1026" width="11.44140625" style="86"/>
    <col min="1027" max="1027" width="24.88671875" style="86" customWidth="1"/>
    <col min="1028" max="1029" width="11.44140625" style="86"/>
    <col min="1030" max="1030" width="12" style="86" customWidth="1"/>
    <col min="1031" max="1033" width="11.44140625" style="86"/>
    <col min="1034" max="1034" width="14.5546875" style="86" customWidth="1"/>
    <col min="1035" max="1282" width="11.44140625" style="86"/>
    <col min="1283" max="1283" width="24.88671875" style="86" customWidth="1"/>
    <col min="1284" max="1285" width="11.44140625" style="86"/>
    <col min="1286" max="1286" width="12" style="86" customWidth="1"/>
    <col min="1287" max="1289" width="11.44140625" style="86"/>
    <col min="1290" max="1290" width="14.5546875" style="86" customWidth="1"/>
    <col min="1291" max="1538" width="11.44140625" style="86"/>
    <col min="1539" max="1539" width="24.88671875" style="86" customWidth="1"/>
    <col min="1540" max="1541" width="11.44140625" style="86"/>
    <col min="1542" max="1542" width="12" style="86" customWidth="1"/>
    <col min="1543" max="1545" width="11.44140625" style="86"/>
    <col min="1546" max="1546" width="14.5546875" style="86" customWidth="1"/>
    <col min="1547" max="1794" width="11.44140625" style="86"/>
    <col min="1795" max="1795" width="24.88671875" style="86" customWidth="1"/>
    <col min="1796" max="1797" width="11.44140625" style="86"/>
    <col min="1798" max="1798" width="12" style="86" customWidth="1"/>
    <col min="1799" max="1801" width="11.44140625" style="86"/>
    <col min="1802" max="1802" width="14.5546875" style="86" customWidth="1"/>
    <col min="1803" max="2050" width="11.44140625" style="86"/>
    <col min="2051" max="2051" width="24.88671875" style="86" customWidth="1"/>
    <col min="2052" max="2053" width="11.44140625" style="86"/>
    <col min="2054" max="2054" width="12" style="86" customWidth="1"/>
    <col min="2055" max="2057" width="11.44140625" style="86"/>
    <col min="2058" max="2058" width="14.5546875" style="86" customWidth="1"/>
    <col min="2059" max="2306" width="11.44140625" style="86"/>
    <col min="2307" max="2307" width="24.88671875" style="86" customWidth="1"/>
    <col min="2308" max="2309" width="11.44140625" style="86"/>
    <col min="2310" max="2310" width="12" style="86" customWidth="1"/>
    <col min="2311" max="2313" width="11.44140625" style="86"/>
    <col min="2314" max="2314" width="14.5546875" style="86" customWidth="1"/>
    <col min="2315" max="2562" width="11.44140625" style="86"/>
    <col min="2563" max="2563" width="24.88671875" style="86" customWidth="1"/>
    <col min="2564" max="2565" width="11.44140625" style="86"/>
    <col min="2566" max="2566" width="12" style="86" customWidth="1"/>
    <col min="2567" max="2569" width="11.44140625" style="86"/>
    <col min="2570" max="2570" width="14.5546875" style="86" customWidth="1"/>
    <col min="2571" max="2818" width="11.44140625" style="86"/>
    <col min="2819" max="2819" width="24.88671875" style="86" customWidth="1"/>
    <col min="2820" max="2821" width="11.44140625" style="86"/>
    <col min="2822" max="2822" width="12" style="86" customWidth="1"/>
    <col min="2823" max="2825" width="11.44140625" style="86"/>
    <col min="2826" max="2826" width="14.5546875" style="86" customWidth="1"/>
    <col min="2827" max="3074" width="11.44140625" style="86"/>
    <col min="3075" max="3075" width="24.88671875" style="86" customWidth="1"/>
    <col min="3076" max="3077" width="11.44140625" style="86"/>
    <col min="3078" max="3078" width="12" style="86" customWidth="1"/>
    <col min="3079" max="3081" width="11.44140625" style="86"/>
    <col min="3082" max="3082" width="14.5546875" style="86" customWidth="1"/>
    <col min="3083" max="3330" width="11.44140625" style="86"/>
    <col min="3331" max="3331" width="24.88671875" style="86" customWidth="1"/>
    <col min="3332" max="3333" width="11.44140625" style="86"/>
    <col min="3334" max="3334" width="12" style="86" customWidth="1"/>
    <col min="3335" max="3337" width="11.44140625" style="86"/>
    <col min="3338" max="3338" width="14.5546875" style="86" customWidth="1"/>
    <col min="3339" max="3586" width="11.44140625" style="86"/>
    <col min="3587" max="3587" width="24.88671875" style="86" customWidth="1"/>
    <col min="3588" max="3589" width="11.44140625" style="86"/>
    <col min="3590" max="3590" width="12" style="86" customWidth="1"/>
    <col min="3591" max="3593" width="11.44140625" style="86"/>
    <col min="3594" max="3594" width="14.5546875" style="86" customWidth="1"/>
    <col min="3595" max="3842" width="11.44140625" style="86"/>
    <col min="3843" max="3843" width="24.88671875" style="86" customWidth="1"/>
    <col min="3844" max="3845" width="11.44140625" style="86"/>
    <col min="3846" max="3846" width="12" style="86" customWidth="1"/>
    <col min="3847" max="3849" width="11.44140625" style="86"/>
    <col min="3850" max="3850" width="14.5546875" style="86" customWidth="1"/>
    <col min="3851" max="4098" width="11.44140625" style="86"/>
    <col min="4099" max="4099" width="24.88671875" style="86" customWidth="1"/>
    <col min="4100" max="4101" width="11.44140625" style="86"/>
    <col min="4102" max="4102" width="12" style="86" customWidth="1"/>
    <col min="4103" max="4105" width="11.44140625" style="86"/>
    <col min="4106" max="4106" width="14.5546875" style="86" customWidth="1"/>
    <col min="4107" max="4354" width="11.44140625" style="86"/>
    <col min="4355" max="4355" width="24.88671875" style="86" customWidth="1"/>
    <col min="4356" max="4357" width="11.44140625" style="86"/>
    <col min="4358" max="4358" width="12" style="86" customWidth="1"/>
    <col min="4359" max="4361" width="11.44140625" style="86"/>
    <col min="4362" max="4362" width="14.5546875" style="86" customWidth="1"/>
    <col min="4363" max="4610" width="11.44140625" style="86"/>
    <col min="4611" max="4611" width="24.88671875" style="86" customWidth="1"/>
    <col min="4612" max="4613" width="11.44140625" style="86"/>
    <col min="4614" max="4614" width="12" style="86" customWidth="1"/>
    <col min="4615" max="4617" width="11.44140625" style="86"/>
    <col min="4618" max="4618" width="14.5546875" style="86" customWidth="1"/>
    <col min="4619" max="4866" width="11.44140625" style="86"/>
    <col min="4867" max="4867" width="24.88671875" style="86" customWidth="1"/>
    <col min="4868" max="4869" width="11.44140625" style="86"/>
    <col min="4870" max="4870" width="12" style="86" customWidth="1"/>
    <col min="4871" max="4873" width="11.44140625" style="86"/>
    <col min="4874" max="4874" width="14.5546875" style="86" customWidth="1"/>
    <col min="4875" max="5122" width="11.44140625" style="86"/>
    <col min="5123" max="5123" width="24.88671875" style="86" customWidth="1"/>
    <col min="5124" max="5125" width="11.44140625" style="86"/>
    <col min="5126" max="5126" width="12" style="86" customWidth="1"/>
    <col min="5127" max="5129" width="11.44140625" style="86"/>
    <col min="5130" max="5130" width="14.5546875" style="86" customWidth="1"/>
    <col min="5131" max="5378" width="11.44140625" style="86"/>
    <col min="5379" max="5379" width="24.88671875" style="86" customWidth="1"/>
    <col min="5380" max="5381" width="11.44140625" style="86"/>
    <col min="5382" max="5382" width="12" style="86" customWidth="1"/>
    <col min="5383" max="5385" width="11.44140625" style="86"/>
    <col min="5386" max="5386" width="14.5546875" style="86" customWidth="1"/>
    <col min="5387" max="5634" width="11.44140625" style="86"/>
    <col min="5635" max="5635" width="24.88671875" style="86" customWidth="1"/>
    <col min="5636" max="5637" width="11.44140625" style="86"/>
    <col min="5638" max="5638" width="12" style="86" customWidth="1"/>
    <col min="5639" max="5641" width="11.44140625" style="86"/>
    <col min="5642" max="5642" width="14.5546875" style="86" customWidth="1"/>
    <col min="5643" max="5890" width="11.44140625" style="86"/>
    <col min="5891" max="5891" width="24.88671875" style="86" customWidth="1"/>
    <col min="5892" max="5893" width="11.44140625" style="86"/>
    <col min="5894" max="5894" width="12" style="86" customWidth="1"/>
    <col min="5895" max="5897" width="11.44140625" style="86"/>
    <col min="5898" max="5898" width="14.5546875" style="86" customWidth="1"/>
    <col min="5899" max="6146" width="11.44140625" style="86"/>
    <col min="6147" max="6147" width="24.88671875" style="86" customWidth="1"/>
    <col min="6148" max="6149" width="11.44140625" style="86"/>
    <col min="6150" max="6150" width="12" style="86" customWidth="1"/>
    <col min="6151" max="6153" width="11.44140625" style="86"/>
    <col min="6154" max="6154" width="14.5546875" style="86" customWidth="1"/>
    <col min="6155" max="6402" width="11.44140625" style="86"/>
    <col min="6403" max="6403" width="24.88671875" style="86" customWidth="1"/>
    <col min="6404" max="6405" width="11.44140625" style="86"/>
    <col min="6406" max="6406" width="12" style="86" customWidth="1"/>
    <col min="6407" max="6409" width="11.44140625" style="86"/>
    <col min="6410" max="6410" width="14.5546875" style="86" customWidth="1"/>
    <col min="6411" max="6658" width="11.44140625" style="86"/>
    <col min="6659" max="6659" width="24.88671875" style="86" customWidth="1"/>
    <col min="6660" max="6661" width="11.44140625" style="86"/>
    <col min="6662" max="6662" width="12" style="86" customWidth="1"/>
    <col min="6663" max="6665" width="11.44140625" style="86"/>
    <col min="6666" max="6666" width="14.5546875" style="86" customWidth="1"/>
    <col min="6667" max="6914" width="11.44140625" style="86"/>
    <col min="6915" max="6915" width="24.88671875" style="86" customWidth="1"/>
    <col min="6916" max="6917" width="11.44140625" style="86"/>
    <col min="6918" max="6918" width="12" style="86" customWidth="1"/>
    <col min="6919" max="6921" width="11.44140625" style="86"/>
    <col min="6922" max="6922" width="14.5546875" style="86" customWidth="1"/>
    <col min="6923" max="7170" width="11.44140625" style="86"/>
    <col min="7171" max="7171" width="24.88671875" style="86" customWidth="1"/>
    <col min="7172" max="7173" width="11.44140625" style="86"/>
    <col min="7174" max="7174" width="12" style="86" customWidth="1"/>
    <col min="7175" max="7177" width="11.44140625" style="86"/>
    <col min="7178" max="7178" width="14.5546875" style="86" customWidth="1"/>
    <col min="7179" max="7426" width="11.44140625" style="86"/>
    <col min="7427" max="7427" width="24.88671875" style="86" customWidth="1"/>
    <col min="7428" max="7429" width="11.44140625" style="86"/>
    <col min="7430" max="7430" width="12" style="86" customWidth="1"/>
    <col min="7431" max="7433" width="11.44140625" style="86"/>
    <col min="7434" max="7434" width="14.5546875" style="86" customWidth="1"/>
    <col min="7435" max="7682" width="11.44140625" style="86"/>
    <col min="7683" max="7683" width="24.88671875" style="86" customWidth="1"/>
    <col min="7684" max="7685" width="11.44140625" style="86"/>
    <col min="7686" max="7686" width="12" style="86" customWidth="1"/>
    <col min="7687" max="7689" width="11.44140625" style="86"/>
    <col min="7690" max="7690" width="14.5546875" style="86" customWidth="1"/>
    <col min="7691" max="7938" width="11.44140625" style="86"/>
    <col min="7939" max="7939" width="24.88671875" style="86" customWidth="1"/>
    <col min="7940" max="7941" width="11.44140625" style="86"/>
    <col min="7942" max="7942" width="12" style="86" customWidth="1"/>
    <col min="7943" max="7945" width="11.44140625" style="86"/>
    <col min="7946" max="7946" width="14.5546875" style="86" customWidth="1"/>
    <col min="7947" max="8194" width="11.44140625" style="86"/>
    <col min="8195" max="8195" width="24.88671875" style="86" customWidth="1"/>
    <col min="8196" max="8197" width="11.44140625" style="86"/>
    <col min="8198" max="8198" width="12" style="86" customWidth="1"/>
    <col min="8199" max="8201" width="11.44140625" style="86"/>
    <col min="8202" max="8202" width="14.5546875" style="86" customWidth="1"/>
    <col min="8203" max="8450" width="11.44140625" style="86"/>
    <col min="8451" max="8451" width="24.88671875" style="86" customWidth="1"/>
    <col min="8452" max="8453" width="11.44140625" style="86"/>
    <col min="8454" max="8454" width="12" style="86" customWidth="1"/>
    <col min="8455" max="8457" width="11.44140625" style="86"/>
    <col min="8458" max="8458" width="14.5546875" style="86" customWidth="1"/>
    <col min="8459" max="8706" width="11.44140625" style="86"/>
    <col min="8707" max="8707" width="24.88671875" style="86" customWidth="1"/>
    <col min="8708" max="8709" width="11.44140625" style="86"/>
    <col min="8710" max="8710" width="12" style="86" customWidth="1"/>
    <col min="8711" max="8713" width="11.44140625" style="86"/>
    <col min="8714" max="8714" width="14.5546875" style="86" customWidth="1"/>
    <col min="8715" max="8962" width="11.44140625" style="86"/>
    <col min="8963" max="8963" width="24.88671875" style="86" customWidth="1"/>
    <col min="8964" max="8965" width="11.44140625" style="86"/>
    <col min="8966" max="8966" width="12" style="86" customWidth="1"/>
    <col min="8967" max="8969" width="11.44140625" style="86"/>
    <col min="8970" max="8970" width="14.5546875" style="86" customWidth="1"/>
    <col min="8971" max="9218" width="11.44140625" style="86"/>
    <col min="9219" max="9219" width="24.88671875" style="86" customWidth="1"/>
    <col min="9220" max="9221" width="11.44140625" style="86"/>
    <col min="9222" max="9222" width="12" style="86" customWidth="1"/>
    <col min="9223" max="9225" width="11.44140625" style="86"/>
    <col min="9226" max="9226" width="14.5546875" style="86" customWidth="1"/>
    <col min="9227" max="9474" width="11.44140625" style="86"/>
    <col min="9475" max="9475" width="24.88671875" style="86" customWidth="1"/>
    <col min="9476" max="9477" width="11.44140625" style="86"/>
    <col min="9478" max="9478" width="12" style="86" customWidth="1"/>
    <col min="9479" max="9481" width="11.44140625" style="86"/>
    <col min="9482" max="9482" width="14.5546875" style="86" customWidth="1"/>
    <col min="9483" max="9730" width="11.44140625" style="86"/>
    <col min="9731" max="9731" width="24.88671875" style="86" customWidth="1"/>
    <col min="9732" max="9733" width="11.44140625" style="86"/>
    <col min="9734" max="9734" width="12" style="86" customWidth="1"/>
    <col min="9735" max="9737" width="11.44140625" style="86"/>
    <col min="9738" max="9738" width="14.5546875" style="86" customWidth="1"/>
    <col min="9739" max="9986" width="11.44140625" style="86"/>
    <col min="9987" max="9987" width="24.88671875" style="86" customWidth="1"/>
    <col min="9988" max="9989" width="11.44140625" style="86"/>
    <col min="9990" max="9990" width="12" style="86" customWidth="1"/>
    <col min="9991" max="9993" width="11.44140625" style="86"/>
    <col min="9994" max="9994" width="14.5546875" style="86" customWidth="1"/>
    <col min="9995" max="10242" width="11.44140625" style="86"/>
    <col min="10243" max="10243" width="24.88671875" style="86" customWidth="1"/>
    <col min="10244" max="10245" width="11.44140625" style="86"/>
    <col min="10246" max="10246" width="12" style="86" customWidth="1"/>
    <col min="10247" max="10249" width="11.44140625" style="86"/>
    <col min="10250" max="10250" width="14.5546875" style="86" customWidth="1"/>
    <col min="10251" max="10498" width="11.44140625" style="86"/>
    <col min="10499" max="10499" width="24.88671875" style="86" customWidth="1"/>
    <col min="10500" max="10501" width="11.44140625" style="86"/>
    <col min="10502" max="10502" width="12" style="86" customWidth="1"/>
    <col min="10503" max="10505" width="11.44140625" style="86"/>
    <col min="10506" max="10506" width="14.5546875" style="86" customWidth="1"/>
    <col min="10507" max="10754" width="11.44140625" style="86"/>
    <col min="10755" max="10755" width="24.88671875" style="86" customWidth="1"/>
    <col min="10756" max="10757" width="11.44140625" style="86"/>
    <col min="10758" max="10758" width="12" style="86" customWidth="1"/>
    <col min="10759" max="10761" width="11.44140625" style="86"/>
    <col min="10762" max="10762" width="14.5546875" style="86" customWidth="1"/>
    <col min="10763" max="11010" width="11.44140625" style="86"/>
    <col min="11011" max="11011" width="24.88671875" style="86" customWidth="1"/>
    <col min="11012" max="11013" width="11.44140625" style="86"/>
    <col min="11014" max="11014" width="12" style="86" customWidth="1"/>
    <col min="11015" max="11017" width="11.44140625" style="86"/>
    <col min="11018" max="11018" width="14.5546875" style="86" customWidth="1"/>
    <col min="11019" max="11266" width="11.44140625" style="86"/>
    <col min="11267" max="11267" width="24.88671875" style="86" customWidth="1"/>
    <col min="11268" max="11269" width="11.44140625" style="86"/>
    <col min="11270" max="11270" width="12" style="86" customWidth="1"/>
    <col min="11271" max="11273" width="11.44140625" style="86"/>
    <col min="11274" max="11274" width="14.5546875" style="86" customWidth="1"/>
    <col min="11275" max="11522" width="11.44140625" style="86"/>
    <col min="11523" max="11523" width="24.88671875" style="86" customWidth="1"/>
    <col min="11524" max="11525" width="11.44140625" style="86"/>
    <col min="11526" max="11526" width="12" style="86" customWidth="1"/>
    <col min="11527" max="11529" width="11.44140625" style="86"/>
    <col min="11530" max="11530" width="14.5546875" style="86" customWidth="1"/>
    <col min="11531" max="11778" width="11.44140625" style="86"/>
    <col min="11779" max="11779" width="24.88671875" style="86" customWidth="1"/>
    <col min="11780" max="11781" width="11.44140625" style="86"/>
    <col min="11782" max="11782" width="12" style="86" customWidth="1"/>
    <col min="11783" max="11785" width="11.44140625" style="86"/>
    <col min="11786" max="11786" width="14.5546875" style="86" customWidth="1"/>
    <col min="11787" max="12034" width="11.44140625" style="86"/>
    <col min="12035" max="12035" width="24.88671875" style="86" customWidth="1"/>
    <col min="12036" max="12037" width="11.44140625" style="86"/>
    <col min="12038" max="12038" width="12" style="86" customWidth="1"/>
    <col min="12039" max="12041" width="11.44140625" style="86"/>
    <col min="12042" max="12042" width="14.5546875" style="86" customWidth="1"/>
    <col min="12043" max="12290" width="11.44140625" style="86"/>
    <col min="12291" max="12291" width="24.88671875" style="86" customWidth="1"/>
    <col min="12292" max="12293" width="11.44140625" style="86"/>
    <col min="12294" max="12294" width="12" style="86" customWidth="1"/>
    <col min="12295" max="12297" width="11.44140625" style="86"/>
    <col min="12298" max="12298" width="14.5546875" style="86" customWidth="1"/>
    <col min="12299" max="12546" width="11.44140625" style="86"/>
    <col min="12547" max="12547" width="24.88671875" style="86" customWidth="1"/>
    <col min="12548" max="12549" width="11.44140625" style="86"/>
    <col min="12550" max="12550" width="12" style="86" customWidth="1"/>
    <col min="12551" max="12553" width="11.44140625" style="86"/>
    <col min="12554" max="12554" width="14.5546875" style="86" customWidth="1"/>
    <col min="12555" max="12802" width="11.44140625" style="86"/>
    <col min="12803" max="12803" width="24.88671875" style="86" customWidth="1"/>
    <col min="12804" max="12805" width="11.44140625" style="86"/>
    <col min="12806" max="12806" width="12" style="86" customWidth="1"/>
    <col min="12807" max="12809" width="11.44140625" style="86"/>
    <col min="12810" max="12810" width="14.5546875" style="86" customWidth="1"/>
    <col min="12811" max="13058" width="11.44140625" style="86"/>
    <col min="13059" max="13059" width="24.88671875" style="86" customWidth="1"/>
    <col min="13060" max="13061" width="11.44140625" style="86"/>
    <col min="13062" max="13062" width="12" style="86" customWidth="1"/>
    <col min="13063" max="13065" width="11.44140625" style="86"/>
    <col min="13066" max="13066" width="14.5546875" style="86" customWidth="1"/>
    <col min="13067" max="13314" width="11.44140625" style="86"/>
    <col min="13315" max="13315" width="24.88671875" style="86" customWidth="1"/>
    <col min="13316" max="13317" width="11.44140625" style="86"/>
    <col min="13318" max="13318" width="12" style="86" customWidth="1"/>
    <col min="13319" max="13321" width="11.44140625" style="86"/>
    <col min="13322" max="13322" width="14.5546875" style="86" customWidth="1"/>
    <col min="13323" max="13570" width="11.44140625" style="86"/>
    <col min="13571" max="13571" width="24.88671875" style="86" customWidth="1"/>
    <col min="13572" max="13573" width="11.44140625" style="86"/>
    <col min="13574" max="13574" width="12" style="86" customWidth="1"/>
    <col min="13575" max="13577" width="11.44140625" style="86"/>
    <col min="13578" max="13578" width="14.5546875" style="86" customWidth="1"/>
    <col min="13579" max="13826" width="11.44140625" style="86"/>
    <col min="13827" max="13827" width="24.88671875" style="86" customWidth="1"/>
    <col min="13828" max="13829" width="11.44140625" style="86"/>
    <col min="13830" max="13830" width="12" style="86" customWidth="1"/>
    <col min="13831" max="13833" width="11.44140625" style="86"/>
    <col min="13834" max="13834" width="14.5546875" style="86" customWidth="1"/>
    <col min="13835" max="14082" width="11.44140625" style="86"/>
    <col min="14083" max="14083" width="24.88671875" style="86" customWidth="1"/>
    <col min="14084" max="14085" width="11.44140625" style="86"/>
    <col min="14086" max="14086" width="12" style="86" customWidth="1"/>
    <col min="14087" max="14089" width="11.44140625" style="86"/>
    <col min="14090" max="14090" width="14.5546875" style="86" customWidth="1"/>
    <col min="14091" max="14338" width="11.44140625" style="86"/>
    <col min="14339" max="14339" width="24.88671875" style="86" customWidth="1"/>
    <col min="14340" max="14341" width="11.44140625" style="86"/>
    <col min="14342" max="14342" width="12" style="86" customWidth="1"/>
    <col min="14343" max="14345" width="11.44140625" style="86"/>
    <col min="14346" max="14346" width="14.5546875" style="86" customWidth="1"/>
    <col min="14347" max="14594" width="11.44140625" style="86"/>
    <col min="14595" max="14595" width="24.88671875" style="86" customWidth="1"/>
    <col min="14596" max="14597" width="11.44140625" style="86"/>
    <col min="14598" max="14598" width="12" style="86" customWidth="1"/>
    <col min="14599" max="14601" width="11.44140625" style="86"/>
    <col min="14602" max="14602" width="14.5546875" style="86" customWidth="1"/>
    <col min="14603" max="14850" width="11.44140625" style="86"/>
    <col min="14851" max="14851" width="24.88671875" style="86" customWidth="1"/>
    <col min="14852" max="14853" width="11.44140625" style="86"/>
    <col min="14854" max="14854" width="12" style="86" customWidth="1"/>
    <col min="14855" max="14857" width="11.44140625" style="86"/>
    <col min="14858" max="14858" width="14.5546875" style="86" customWidth="1"/>
    <col min="14859" max="15106" width="11.44140625" style="86"/>
    <col min="15107" max="15107" width="24.88671875" style="86" customWidth="1"/>
    <col min="15108" max="15109" width="11.44140625" style="86"/>
    <col min="15110" max="15110" width="12" style="86" customWidth="1"/>
    <col min="15111" max="15113" width="11.44140625" style="86"/>
    <col min="15114" max="15114" width="14.5546875" style="86" customWidth="1"/>
    <col min="15115" max="15362" width="11.44140625" style="86"/>
    <col min="15363" max="15363" width="24.88671875" style="86" customWidth="1"/>
    <col min="15364" max="15365" width="11.44140625" style="86"/>
    <col min="15366" max="15366" width="12" style="86" customWidth="1"/>
    <col min="15367" max="15369" width="11.44140625" style="86"/>
    <col min="15370" max="15370" width="14.5546875" style="86" customWidth="1"/>
    <col min="15371" max="15618" width="11.44140625" style="86"/>
    <col min="15619" max="15619" width="24.88671875" style="86" customWidth="1"/>
    <col min="15620" max="15621" width="11.44140625" style="86"/>
    <col min="15622" max="15622" width="12" style="86" customWidth="1"/>
    <col min="15623" max="15625" width="11.44140625" style="86"/>
    <col min="15626" max="15626" width="14.5546875" style="86" customWidth="1"/>
    <col min="15627" max="15874" width="11.44140625" style="86"/>
    <col min="15875" max="15875" width="24.88671875" style="86" customWidth="1"/>
    <col min="15876" max="15877" width="11.44140625" style="86"/>
    <col min="15878" max="15878" width="12" style="86" customWidth="1"/>
    <col min="15879" max="15881" width="11.44140625" style="86"/>
    <col min="15882" max="15882" width="14.5546875" style="86" customWidth="1"/>
    <col min="15883" max="16130" width="11.44140625" style="86"/>
    <col min="16131" max="16131" width="24.88671875" style="86" customWidth="1"/>
    <col min="16132" max="16133" width="11.44140625" style="86"/>
    <col min="16134" max="16134" width="12" style="86" customWidth="1"/>
    <col min="16135" max="16137" width="11.44140625" style="86"/>
    <col min="16138" max="16138" width="14.5546875" style="86" customWidth="1"/>
    <col min="16139" max="16384" width="11.44140625" style="86"/>
  </cols>
  <sheetData>
    <row r="1" spans="3:7" ht="19.95" customHeight="1" x14ac:dyDescent="0.25">
      <c r="C1" s="619" t="s">
        <v>429</v>
      </c>
      <c r="D1" s="619"/>
      <c r="E1" s="619"/>
      <c r="F1" s="619"/>
      <c r="G1" s="619"/>
    </row>
    <row r="3" spans="3:7" ht="14.4" customHeight="1" x14ac:dyDescent="0.25">
      <c r="C3" s="622" t="s">
        <v>184</v>
      </c>
      <c r="D3" s="623"/>
      <c r="E3" s="623"/>
      <c r="F3" s="623"/>
      <c r="G3" s="624"/>
    </row>
    <row r="4" spans="3:7" x14ac:dyDescent="0.25">
      <c r="C4" s="625"/>
      <c r="D4" s="626"/>
      <c r="E4" s="626"/>
      <c r="F4" s="626"/>
      <c r="G4" s="627"/>
    </row>
    <row r="5" spans="3:7" x14ac:dyDescent="0.25">
      <c r="C5" s="107"/>
      <c r="D5" s="109" t="s">
        <v>0</v>
      </c>
      <c r="E5" s="109" t="s">
        <v>1</v>
      </c>
      <c r="F5" s="109" t="s">
        <v>2</v>
      </c>
      <c r="G5" s="140" t="s">
        <v>3</v>
      </c>
    </row>
    <row r="6" spans="3:7" x14ac:dyDescent="0.25">
      <c r="C6" s="104" t="s">
        <v>222</v>
      </c>
      <c r="D6" s="105">
        <v>72</v>
      </c>
      <c r="E6" s="105">
        <v>86.4</v>
      </c>
      <c r="F6" s="105">
        <v>103.7</v>
      </c>
      <c r="G6" s="106">
        <v>124.4</v>
      </c>
    </row>
    <row r="7" spans="3:7" x14ac:dyDescent="0.25">
      <c r="C7" s="107"/>
      <c r="D7" s="109" t="s">
        <v>165</v>
      </c>
      <c r="E7" s="413"/>
      <c r="F7" s="413"/>
      <c r="G7" s="414"/>
    </row>
    <row r="8" spans="3:7" x14ac:dyDescent="0.25">
      <c r="C8" s="100" t="s">
        <v>219</v>
      </c>
      <c r="D8" s="88">
        <v>50</v>
      </c>
      <c r="E8" s="88"/>
      <c r="F8" s="88"/>
      <c r="G8" s="103"/>
    </row>
    <row r="9" spans="3:7" x14ac:dyDescent="0.25">
      <c r="C9" s="100" t="s">
        <v>43</v>
      </c>
      <c r="D9" s="88">
        <v>10</v>
      </c>
      <c r="E9" s="88"/>
      <c r="F9" s="88"/>
      <c r="G9" s="103"/>
    </row>
    <row r="10" spans="3:7" x14ac:dyDescent="0.25">
      <c r="C10" s="100" t="s">
        <v>363</v>
      </c>
      <c r="D10" s="88">
        <v>30</v>
      </c>
      <c r="E10" s="88"/>
      <c r="F10" s="88"/>
      <c r="G10" s="103"/>
    </row>
    <row r="11" spans="3:7" x14ac:dyDescent="0.25">
      <c r="C11" s="100" t="s">
        <v>175</v>
      </c>
      <c r="D11" s="92">
        <v>0.4</v>
      </c>
      <c r="E11" s="88"/>
      <c r="F11" s="88"/>
      <c r="G11" s="103"/>
    </row>
    <row r="12" spans="3:7" x14ac:dyDescent="0.25">
      <c r="C12" s="100" t="s">
        <v>220</v>
      </c>
      <c r="D12" s="92">
        <v>0.05</v>
      </c>
      <c r="E12" s="88"/>
      <c r="F12" s="88"/>
      <c r="G12" s="103"/>
    </row>
    <row r="13" spans="3:7" x14ac:dyDescent="0.25">
      <c r="C13" s="100" t="s">
        <v>152</v>
      </c>
      <c r="D13" s="92">
        <v>0.08</v>
      </c>
      <c r="E13" s="88"/>
      <c r="F13" s="88"/>
      <c r="G13" s="103"/>
    </row>
    <row r="14" spans="3:7" x14ac:dyDescent="0.25">
      <c r="C14" s="100" t="s">
        <v>161</v>
      </c>
      <c r="D14" s="92">
        <v>0.3</v>
      </c>
      <c r="E14" s="88"/>
      <c r="F14" s="88"/>
      <c r="G14" s="103"/>
    </row>
    <row r="15" spans="3:7" x14ac:dyDescent="0.25">
      <c r="C15" s="100" t="s">
        <v>99</v>
      </c>
      <c r="D15" s="204">
        <v>4.0000000000000001E-3</v>
      </c>
      <c r="E15" s="88"/>
      <c r="F15" s="88"/>
      <c r="G15" s="103"/>
    </row>
    <row r="16" spans="3:7" x14ac:dyDescent="0.25">
      <c r="C16" s="100" t="s">
        <v>101</v>
      </c>
      <c r="D16" s="204">
        <v>6.0000000000000001E-3</v>
      </c>
      <c r="E16" s="88"/>
      <c r="F16" s="88"/>
      <c r="G16" s="103"/>
    </row>
    <row r="17" spans="3:7" x14ac:dyDescent="0.25">
      <c r="C17" s="100" t="s">
        <v>103</v>
      </c>
      <c r="D17" s="204">
        <v>5.0000000000000001E-3</v>
      </c>
      <c r="E17" s="88"/>
      <c r="F17" s="88"/>
      <c r="G17" s="103"/>
    </row>
    <row r="18" spans="3:7" x14ac:dyDescent="0.25">
      <c r="C18" s="100" t="s">
        <v>430</v>
      </c>
      <c r="D18" s="88">
        <v>1.25</v>
      </c>
      <c r="E18" s="88"/>
      <c r="F18" s="88"/>
      <c r="G18" s="103"/>
    </row>
    <row r="19" spans="3:7" x14ac:dyDescent="0.25">
      <c r="C19" s="100" t="s">
        <v>221</v>
      </c>
      <c r="D19" s="88">
        <v>0.3</v>
      </c>
      <c r="E19" s="88"/>
      <c r="F19" s="88"/>
      <c r="G19" s="103"/>
    </row>
    <row r="20" spans="3:7" ht="16.2" x14ac:dyDescent="0.35">
      <c r="C20" s="8" t="s">
        <v>402</v>
      </c>
      <c r="D20" s="411">
        <v>0.05</v>
      </c>
      <c r="E20" s="88"/>
      <c r="F20" s="88"/>
      <c r="G20" s="103"/>
    </row>
    <row r="21" spans="3:7" ht="16.2" x14ac:dyDescent="0.35">
      <c r="C21" s="8" t="s">
        <v>403</v>
      </c>
      <c r="D21" s="411">
        <v>7.0000000000000007E-2</v>
      </c>
      <c r="E21" s="88"/>
      <c r="F21" s="88"/>
      <c r="G21" s="103"/>
    </row>
    <row r="22" spans="3:7" x14ac:dyDescent="0.25">
      <c r="C22" s="27"/>
      <c r="D22" s="412"/>
      <c r="E22" s="105"/>
      <c r="F22" s="105"/>
      <c r="G22" s="106"/>
    </row>
    <row r="23" spans="3:7" x14ac:dyDescent="0.25">
      <c r="C23" s="242"/>
      <c r="D23" s="411"/>
      <c r="E23" s="88"/>
      <c r="F23" s="88"/>
      <c r="G23" s="88"/>
    </row>
    <row r="24" spans="3:7" ht="16.2" x14ac:dyDescent="0.35">
      <c r="C24" s="30"/>
      <c r="D24" s="19" t="s">
        <v>433</v>
      </c>
    </row>
    <row r="25" spans="3:7" x14ac:dyDescent="0.25">
      <c r="C25" s="100" t="s">
        <v>100</v>
      </c>
      <c r="D25" s="244">
        <f>+D15/D17</f>
        <v>0.8</v>
      </c>
    </row>
    <row r="26" spans="3:7" x14ac:dyDescent="0.25">
      <c r="C26" s="100" t="s">
        <v>102</v>
      </c>
      <c r="D26" s="244">
        <f>+D16/D17</f>
        <v>1.2</v>
      </c>
    </row>
    <row r="27" spans="3:7" x14ac:dyDescent="0.25">
      <c r="C27" s="104" t="s">
        <v>104</v>
      </c>
      <c r="D27" s="16">
        <f>+D18*((1+D19*(1-D11)))</f>
        <v>1.4749999999999999</v>
      </c>
    </row>
    <row r="29" spans="3:7" ht="16.2" x14ac:dyDescent="0.35">
      <c r="C29" s="30"/>
      <c r="D29" s="71" t="s">
        <v>303</v>
      </c>
      <c r="E29" s="19" t="s">
        <v>433</v>
      </c>
    </row>
    <row r="30" spans="3:7" x14ac:dyDescent="0.25">
      <c r="C30" s="100" t="s">
        <v>100</v>
      </c>
      <c r="D30" s="92">
        <v>0.3</v>
      </c>
      <c r="E30" s="244">
        <f>+D25</f>
        <v>0.8</v>
      </c>
    </row>
    <row r="31" spans="3:7" x14ac:dyDescent="0.25">
      <c r="C31" s="100" t="s">
        <v>102</v>
      </c>
      <c r="D31" s="92">
        <v>0.5</v>
      </c>
      <c r="E31" s="244">
        <f>+D26</f>
        <v>1.2</v>
      </c>
    </row>
    <row r="32" spans="3:7" x14ac:dyDescent="0.25">
      <c r="C32" s="100" t="s">
        <v>104</v>
      </c>
      <c r="D32" s="92">
        <v>0.2</v>
      </c>
      <c r="E32" s="244">
        <f>+D27</f>
        <v>1.4749999999999999</v>
      </c>
    </row>
    <row r="33" spans="3:12" x14ac:dyDescent="0.25">
      <c r="C33" s="415" t="s">
        <v>223</v>
      </c>
      <c r="D33" s="184"/>
      <c r="E33" s="185">
        <f>+D30*E30+D31*E31+D32*E32</f>
        <v>1.135</v>
      </c>
    </row>
    <row r="34" spans="3:12" x14ac:dyDescent="0.25">
      <c r="C34" s="95"/>
      <c r="D34" s="34"/>
      <c r="E34" s="34"/>
    </row>
    <row r="35" spans="3:12" x14ac:dyDescent="0.25">
      <c r="C35" s="143" t="s">
        <v>205</v>
      </c>
      <c r="D35" s="156"/>
      <c r="E35" s="157"/>
    </row>
    <row r="36" spans="3:12" ht="16.2" x14ac:dyDescent="0.35">
      <c r="C36" s="100" t="s">
        <v>431</v>
      </c>
      <c r="D36" s="88"/>
      <c r="E36" s="195">
        <f>+D20+E33*D21</f>
        <v>0.12945000000000001</v>
      </c>
    </row>
    <row r="37" spans="3:12" ht="16.2" x14ac:dyDescent="0.35">
      <c r="C37" s="120" t="s">
        <v>432</v>
      </c>
      <c r="D37" s="172"/>
      <c r="E37" s="141">
        <f>+D14*D13*(1-D11)+ (1-D14)*E36</f>
        <v>0.105015</v>
      </c>
    </row>
    <row r="38" spans="3:12" x14ac:dyDescent="0.25">
      <c r="E38" s="94"/>
    </row>
    <row r="39" spans="3:12" ht="3" customHeight="1" x14ac:dyDescent="0.25"/>
    <row r="40" spans="3:12" ht="10.95" customHeight="1" x14ac:dyDescent="0.25"/>
    <row r="41" spans="3:12" ht="13.2" customHeight="1" x14ac:dyDescent="0.25">
      <c r="C41" s="143" t="s">
        <v>157</v>
      </c>
      <c r="D41" s="18" t="s">
        <v>0</v>
      </c>
      <c r="E41" s="18" t="s">
        <v>1</v>
      </c>
      <c r="F41" s="18" t="s">
        <v>2</v>
      </c>
      <c r="G41" s="19" t="s">
        <v>3</v>
      </c>
    </row>
    <row r="42" spans="3:12" ht="14.4" hidden="1" thickTop="1" x14ac:dyDescent="0.25">
      <c r="C42" s="100" t="s">
        <v>105</v>
      </c>
      <c r="D42" s="88">
        <v>120</v>
      </c>
      <c r="E42" s="88">
        <f>D42*1.2</f>
        <v>144</v>
      </c>
      <c r="F42" s="88">
        <f>+E42*1.2</f>
        <v>172.79999999999998</v>
      </c>
      <c r="G42" s="103">
        <f>+F42*1.2</f>
        <v>207.35999999999999</v>
      </c>
    </row>
    <row r="43" spans="3:12" ht="1.95" customHeight="1" x14ac:dyDescent="0.25">
      <c r="C43" s="100" t="s">
        <v>106</v>
      </c>
      <c r="D43" s="158">
        <f>-D42*(0.4)</f>
        <v>-48</v>
      </c>
      <c r="E43" s="158">
        <f>-E42*(0.4)</f>
        <v>-57.6</v>
      </c>
      <c r="F43" s="158">
        <f>-F42*(0.4)</f>
        <v>-69.11999999999999</v>
      </c>
      <c r="G43" s="340">
        <f>-G42*(0.4)</f>
        <v>-82.944000000000003</v>
      </c>
      <c r="I43" s="29"/>
    </row>
    <row r="44" spans="3:12" x14ac:dyDescent="0.25">
      <c r="C44" s="100" t="s">
        <v>107</v>
      </c>
      <c r="D44" s="158">
        <f>+D6</f>
        <v>72</v>
      </c>
      <c r="E44" s="158">
        <f t="shared" ref="E44:G44" si="0">+E6</f>
        <v>86.4</v>
      </c>
      <c r="F44" s="158">
        <f t="shared" si="0"/>
        <v>103.7</v>
      </c>
      <c r="G44" s="340">
        <f t="shared" si="0"/>
        <v>124.4</v>
      </c>
    </row>
    <row r="45" spans="3:12" x14ac:dyDescent="0.25">
      <c r="C45" s="100" t="s">
        <v>224</v>
      </c>
      <c r="D45" s="158">
        <f>$D$10*$D$11</f>
        <v>12</v>
      </c>
      <c r="E45" s="158">
        <f t="shared" ref="E45:G45" si="1">$D$10*$D$11</f>
        <v>12</v>
      </c>
      <c r="F45" s="158">
        <f t="shared" si="1"/>
        <v>12</v>
      </c>
      <c r="G45" s="340">
        <f t="shared" si="1"/>
        <v>12</v>
      </c>
    </row>
    <row r="46" spans="3:12" x14ac:dyDescent="0.25">
      <c r="C46" s="100" t="s">
        <v>170</v>
      </c>
      <c r="D46" s="158">
        <f>-$D$8</f>
        <v>-50</v>
      </c>
      <c r="E46" s="158">
        <f t="shared" ref="E46:G46" si="2">-$D$8</f>
        <v>-50</v>
      </c>
      <c r="F46" s="158">
        <f t="shared" si="2"/>
        <v>-50</v>
      </c>
      <c r="G46" s="340">
        <f t="shared" si="2"/>
        <v>-50</v>
      </c>
    </row>
    <row r="47" spans="3:12" x14ac:dyDescent="0.25">
      <c r="C47" s="100" t="s">
        <v>43</v>
      </c>
      <c r="D47" s="158">
        <f>-$D$9</f>
        <v>-10</v>
      </c>
      <c r="E47" s="158">
        <f t="shared" ref="E47:G47" si="3">-$D$9</f>
        <v>-10</v>
      </c>
      <c r="F47" s="158">
        <f t="shared" si="3"/>
        <v>-10</v>
      </c>
      <c r="G47" s="340">
        <f t="shared" si="3"/>
        <v>-10</v>
      </c>
      <c r="K47" s="88"/>
      <c r="L47" s="95"/>
    </row>
    <row r="48" spans="3:12" x14ac:dyDescent="0.25">
      <c r="C48" s="268" t="s">
        <v>98</v>
      </c>
      <c r="D48" s="68">
        <f>SUM(D44:D47)</f>
        <v>24</v>
      </c>
      <c r="E48" s="68">
        <f>SUM(E44:E47)</f>
        <v>38.400000000000006</v>
      </c>
      <c r="F48" s="68">
        <f>SUM(F44:F47)</f>
        <v>55.7</v>
      </c>
      <c r="G48" s="69">
        <f>SUM(G44:G47)</f>
        <v>76.400000000000006</v>
      </c>
      <c r="K48" s="88"/>
      <c r="L48" s="88"/>
    </row>
    <row r="49" spans="2:7" x14ac:dyDescent="0.25">
      <c r="C49" s="100" t="s">
        <v>227</v>
      </c>
      <c r="D49" s="242"/>
      <c r="E49" s="88"/>
      <c r="F49" s="88"/>
      <c r="G49" s="340">
        <f>G48*(1+D12)/(E37-D12)</f>
        <v>1458.1477778787607</v>
      </c>
    </row>
    <row r="50" spans="2:7" x14ac:dyDescent="0.25">
      <c r="B50" s="53" t="s">
        <v>30</v>
      </c>
      <c r="C50" s="268" t="s">
        <v>108</v>
      </c>
      <c r="D50" s="311">
        <f>+D48+D49</f>
        <v>24</v>
      </c>
      <c r="E50" s="311">
        <f>+E48+E49</f>
        <v>38.400000000000006</v>
      </c>
      <c r="F50" s="311">
        <f>+F48+F49</f>
        <v>55.7</v>
      </c>
      <c r="G50" s="312">
        <f>+G48+G49</f>
        <v>1534.5477778787608</v>
      </c>
    </row>
    <row r="51" spans="2:7" x14ac:dyDescent="0.25">
      <c r="B51" s="53"/>
    </row>
    <row r="52" spans="2:7" x14ac:dyDescent="0.25">
      <c r="B52" s="53" t="s">
        <v>31</v>
      </c>
      <c r="C52" s="416" t="s">
        <v>225</v>
      </c>
      <c r="D52" s="417" t="s">
        <v>304</v>
      </c>
      <c r="E52" s="309">
        <f>+NPV(E37,D50:G50)</f>
        <v>1123.6671652667035</v>
      </c>
    </row>
  </sheetData>
  <sheetProtection algorithmName="SHA-512" hashValue="3U5gW/W6ovKf6C+YPrzSe73AhNyCFa1oxlepSFJtHKVE+tEnY3VS1RcWxnECyt/iZWmH2H+AcLVO4SPWhHNGRQ==" saltValue="fgPbYC3PoKaPZo8jHoMNWA==" spinCount="100000" sheet="1" objects="1" scenarios="1"/>
  <mergeCells count="2">
    <mergeCell ref="C1:G1"/>
    <mergeCell ref="C3:G4"/>
  </mergeCells>
  <phoneticPr fontId="1" type="noConversion"/>
  <pageMargins left="0.7" right="0.7" top="0.75" bottom="0.75" header="0.3" footer="0.3"/>
  <pageSetup orientation="portrait" horizontalDpi="360" verticalDpi="36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L48"/>
  <sheetViews>
    <sheetView zoomScaleNormal="100" workbookViewId="0">
      <selection activeCell="J43" sqref="J43"/>
    </sheetView>
  </sheetViews>
  <sheetFormatPr baseColWidth="10" defaultRowHeight="13.8" x14ac:dyDescent="0.25"/>
  <cols>
    <col min="1" max="1" width="20.5546875" style="179" customWidth="1"/>
    <col min="2" max="2" width="5" style="179" customWidth="1"/>
    <col min="3" max="3" width="30.33203125" style="179" customWidth="1"/>
    <col min="4" max="4" width="10.5546875" style="179" customWidth="1"/>
    <col min="5" max="6" width="11.44140625" style="179"/>
    <col min="7" max="7" width="9.33203125" style="179" customWidth="1"/>
    <col min="8" max="257" width="11.44140625" style="179"/>
    <col min="258" max="258" width="5" style="179" customWidth="1"/>
    <col min="259" max="259" width="30.33203125" style="179" customWidth="1"/>
    <col min="260" max="260" width="10.5546875" style="179" customWidth="1"/>
    <col min="261" max="262" width="11.44140625" style="179"/>
    <col min="263" max="263" width="9.33203125" style="179" customWidth="1"/>
    <col min="264" max="513" width="11.44140625" style="179"/>
    <col min="514" max="514" width="5" style="179" customWidth="1"/>
    <col min="515" max="515" width="30.33203125" style="179" customWidth="1"/>
    <col min="516" max="516" width="10.5546875" style="179" customWidth="1"/>
    <col min="517" max="518" width="11.44140625" style="179"/>
    <col min="519" max="519" width="9.33203125" style="179" customWidth="1"/>
    <col min="520" max="769" width="11.44140625" style="179"/>
    <col min="770" max="770" width="5" style="179" customWidth="1"/>
    <col min="771" max="771" width="30.33203125" style="179" customWidth="1"/>
    <col min="772" max="772" width="10.5546875" style="179" customWidth="1"/>
    <col min="773" max="774" width="11.44140625" style="179"/>
    <col min="775" max="775" width="9.33203125" style="179" customWidth="1"/>
    <col min="776" max="1025" width="11.44140625" style="179"/>
    <col min="1026" max="1026" width="5" style="179" customWidth="1"/>
    <col min="1027" max="1027" width="30.33203125" style="179" customWidth="1"/>
    <col min="1028" max="1028" width="10.5546875" style="179" customWidth="1"/>
    <col min="1029" max="1030" width="11.44140625" style="179"/>
    <col min="1031" max="1031" width="9.33203125" style="179" customWidth="1"/>
    <col min="1032" max="1281" width="11.44140625" style="179"/>
    <col min="1282" max="1282" width="5" style="179" customWidth="1"/>
    <col min="1283" max="1283" width="30.33203125" style="179" customWidth="1"/>
    <col min="1284" max="1284" width="10.5546875" style="179" customWidth="1"/>
    <col min="1285" max="1286" width="11.44140625" style="179"/>
    <col min="1287" max="1287" width="9.33203125" style="179" customWidth="1"/>
    <col min="1288" max="1537" width="11.44140625" style="179"/>
    <col min="1538" max="1538" width="5" style="179" customWidth="1"/>
    <col min="1539" max="1539" width="30.33203125" style="179" customWidth="1"/>
    <col min="1540" max="1540" width="10.5546875" style="179" customWidth="1"/>
    <col min="1541" max="1542" width="11.44140625" style="179"/>
    <col min="1543" max="1543" width="9.33203125" style="179" customWidth="1"/>
    <col min="1544" max="1793" width="11.44140625" style="179"/>
    <col min="1794" max="1794" width="5" style="179" customWidth="1"/>
    <col min="1795" max="1795" width="30.33203125" style="179" customWidth="1"/>
    <col min="1796" max="1796" width="10.5546875" style="179" customWidth="1"/>
    <col min="1797" max="1798" width="11.44140625" style="179"/>
    <col min="1799" max="1799" width="9.33203125" style="179" customWidth="1"/>
    <col min="1800" max="2049" width="11.44140625" style="179"/>
    <col min="2050" max="2050" width="5" style="179" customWidth="1"/>
    <col min="2051" max="2051" width="30.33203125" style="179" customWidth="1"/>
    <col min="2052" max="2052" width="10.5546875" style="179" customWidth="1"/>
    <col min="2053" max="2054" width="11.44140625" style="179"/>
    <col min="2055" max="2055" width="9.33203125" style="179" customWidth="1"/>
    <col min="2056" max="2305" width="11.44140625" style="179"/>
    <col min="2306" max="2306" width="5" style="179" customWidth="1"/>
    <col min="2307" max="2307" width="30.33203125" style="179" customWidth="1"/>
    <col min="2308" max="2308" width="10.5546875" style="179" customWidth="1"/>
    <col min="2309" max="2310" width="11.44140625" style="179"/>
    <col min="2311" max="2311" width="9.33203125" style="179" customWidth="1"/>
    <col min="2312" max="2561" width="11.44140625" style="179"/>
    <col min="2562" max="2562" width="5" style="179" customWidth="1"/>
    <col min="2563" max="2563" width="30.33203125" style="179" customWidth="1"/>
    <col min="2564" max="2564" width="10.5546875" style="179" customWidth="1"/>
    <col min="2565" max="2566" width="11.44140625" style="179"/>
    <col min="2567" max="2567" width="9.33203125" style="179" customWidth="1"/>
    <col min="2568" max="2817" width="11.44140625" style="179"/>
    <col min="2818" max="2818" width="5" style="179" customWidth="1"/>
    <col min="2819" max="2819" width="30.33203125" style="179" customWidth="1"/>
    <col min="2820" max="2820" width="10.5546875" style="179" customWidth="1"/>
    <col min="2821" max="2822" width="11.44140625" style="179"/>
    <col min="2823" max="2823" width="9.33203125" style="179" customWidth="1"/>
    <col min="2824" max="3073" width="11.44140625" style="179"/>
    <col min="3074" max="3074" width="5" style="179" customWidth="1"/>
    <col min="3075" max="3075" width="30.33203125" style="179" customWidth="1"/>
    <col min="3076" max="3076" width="10.5546875" style="179" customWidth="1"/>
    <col min="3077" max="3078" width="11.44140625" style="179"/>
    <col min="3079" max="3079" width="9.33203125" style="179" customWidth="1"/>
    <col min="3080" max="3329" width="11.44140625" style="179"/>
    <col min="3330" max="3330" width="5" style="179" customWidth="1"/>
    <col min="3331" max="3331" width="30.33203125" style="179" customWidth="1"/>
    <col min="3332" max="3332" width="10.5546875" style="179" customWidth="1"/>
    <col min="3333" max="3334" width="11.44140625" style="179"/>
    <col min="3335" max="3335" width="9.33203125" style="179" customWidth="1"/>
    <col min="3336" max="3585" width="11.44140625" style="179"/>
    <col min="3586" max="3586" width="5" style="179" customWidth="1"/>
    <col min="3587" max="3587" width="30.33203125" style="179" customWidth="1"/>
    <col min="3588" max="3588" width="10.5546875" style="179" customWidth="1"/>
    <col min="3589" max="3590" width="11.44140625" style="179"/>
    <col min="3591" max="3591" width="9.33203125" style="179" customWidth="1"/>
    <col min="3592" max="3841" width="11.44140625" style="179"/>
    <col min="3842" max="3842" width="5" style="179" customWidth="1"/>
    <col min="3843" max="3843" width="30.33203125" style="179" customWidth="1"/>
    <col min="3844" max="3844" width="10.5546875" style="179" customWidth="1"/>
    <col min="3845" max="3846" width="11.44140625" style="179"/>
    <col min="3847" max="3847" width="9.33203125" style="179" customWidth="1"/>
    <col min="3848" max="4097" width="11.44140625" style="179"/>
    <col min="4098" max="4098" width="5" style="179" customWidth="1"/>
    <col min="4099" max="4099" width="30.33203125" style="179" customWidth="1"/>
    <col min="4100" max="4100" width="10.5546875" style="179" customWidth="1"/>
    <col min="4101" max="4102" width="11.44140625" style="179"/>
    <col min="4103" max="4103" width="9.33203125" style="179" customWidth="1"/>
    <col min="4104" max="4353" width="11.44140625" style="179"/>
    <col min="4354" max="4354" width="5" style="179" customWidth="1"/>
    <col min="4355" max="4355" width="30.33203125" style="179" customWidth="1"/>
    <col min="4356" max="4356" width="10.5546875" style="179" customWidth="1"/>
    <col min="4357" max="4358" width="11.44140625" style="179"/>
    <col min="4359" max="4359" width="9.33203125" style="179" customWidth="1"/>
    <col min="4360" max="4609" width="11.44140625" style="179"/>
    <col min="4610" max="4610" width="5" style="179" customWidth="1"/>
    <col min="4611" max="4611" width="30.33203125" style="179" customWidth="1"/>
    <col min="4612" max="4612" width="10.5546875" style="179" customWidth="1"/>
    <col min="4613" max="4614" width="11.44140625" style="179"/>
    <col min="4615" max="4615" width="9.33203125" style="179" customWidth="1"/>
    <col min="4616" max="4865" width="11.44140625" style="179"/>
    <col min="4866" max="4866" width="5" style="179" customWidth="1"/>
    <col min="4867" max="4867" width="30.33203125" style="179" customWidth="1"/>
    <col min="4868" max="4868" width="10.5546875" style="179" customWidth="1"/>
    <col min="4869" max="4870" width="11.44140625" style="179"/>
    <col min="4871" max="4871" width="9.33203125" style="179" customWidth="1"/>
    <col min="4872" max="5121" width="11.44140625" style="179"/>
    <col min="5122" max="5122" width="5" style="179" customWidth="1"/>
    <col min="5123" max="5123" width="30.33203125" style="179" customWidth="1"/>
    <col min="5124" max="5124" width="10.5546875" style="179" customWidth="1"/>
    <col min="5125" max="5126" width="11.44140625" style="179"/>
    <col min="5127" max="5127" width="9.33203125" style="179" customWidth="1"/>
    <col min="5128" max="5377" width="11.44140625" style="179"/>
    <col min="5378" max="5378" width="5" style="179" customWidth="1"/>
    <col min="5379" max="5379" width="30.33203125" style="179" customWidth="1"/>
    <col min="5380" max="5380" width="10.5546875" style="179" customWidth="1"/>
    <col min="5381" max="5382" width="11.44140625" style="179"/>
    <col min="5383" max="5383" width="9.33203125" style="179" customWidth="1"/>
    <col min="5384" max="5633" width="11.44140625" style="179"/>
    <col min="5634" max="5634" width="5" style="179" customWidth="1"/>
    <col min="5635" max="5635" width="30.33203125" style="179" customWidth="1"/>
    <col min="5636" max="5636" width="10.5546875" style="179" customWidth="1"/>
    <col min="5637" max="5638" width="11.44140625" style="179"/>
    <col min="5639" max="5639" width="9.33203125" style="179" customWidth="1"/>
    <col min="5640" max="5889" width="11.44140625" style="179"/>
    <col min="5890" max="5890" width="5" style="179" customWidth="1"/>
    <col min="5891" max="5891" width="30.33203125" style="179" customWidth="1"/>
    <col min="5892" max="5892" width="10.5546875" style="179" customWidth="1"/>
    <col min="5893" max="5894" width="11.44140625" style="179"/>
    <col min="5895" max="5895" width="9.33203125" style="179" customWidth="1"/>
    <col min="5896" max="6145" width="11.44140625" style="179"/>
    <col min="6146" max="6146" width="5" style="179" customWidth="1"/>
    <col min="6147" max="6147" width="30.33203125" style="179" customWidth="1"/>
    <col min="6148" max="6148" width="10.5546875" style="179" customWidth="1"/>
    <col min="6149" max="6150" width="11.44140625" style="179"/>
    <col min="6151" max="6151" width="9.33203125" style="179" customWidth="1"/>
    <col min="6152" max="6401" width="11.44140625" style="179"/>
    <col min="6402" max="6402" width="5" style="179" customWidth="1"/>
    <col min="6403" max="6403" width="30.33203125" style="179" customWidth="1"/>
    <col min="6404" max="6404" width="10.5546875" style="179" customWidth="1"/>
    <col min="6405" max="6406" width="11.44140625" style="179"/>
    <col min="6407" max="6407" width="9.33203125" style="179" customWidth="1"/>
    <col min="6408" max="6657" width="11.44140625" style="179"/>
    <col min="6658" max="6658" width="5" style="179" customWidth="1"/>
    <col min="6659" max="6659" width="30.33203125" style="179" customWidth="1"/>
    <col min="6660" max="6660" width="10.5546875" style="179" customWidth="1"/>
    <col min="6661" max="6662" width="11.44140625" style="179"/>
    <col min="6663" max="6663" width="9.33203125" style="179" customWidth="1"/>
    <col min="6664" max="6913" width="11.44140625" style="179"/>
    <col min="6914" max="6914" width="5" style="179" customWidth="1"/>
    <col min="6915" max="6915" width="30.33203125" style="179" customWidth="1"/>
    <col min="6916" max="6916" width="10.5546875" style="179" customWidth="1"/>
    <col min="6917" max="6918" width="11.44140625" style="179"/>
    <col min="6919" max="6919" width="9.33203125" style="179" customWidth="1"/>
    <col min="6920" max="7169" width="11.44140625" style="179"/>
    <col min="7170" max="7170" width="5" style="179" customWidth="1"/>
    <col min="7171" max="7171" width="30.33203125" style="179" customWidth="1"/>
    <col min="7172" max="7172" width="10.5546875" style="179" customWidth="1"/>
    <col min="7173" max="7174" width="11.44140625" style="179"/>
    <col min="7175" max="7175" width="9.33203125" style="179" customWidth="1"/>
    <col min="7176" max="7425" width="11.44140625" style="179"/>
    <col min="7426" max="7426" width="5" style="179" customWidth="1"/>
    <col min="7427" max="7427" width="30.33203125" style="179" customWidth="1"/>
    <col min="7428" max="7428" width="10.5546875" style="179" customWidth="1"/>
    <col min="7429" max="7430" width="11.44140625" style="179"/>
    <col min="7431" max="7431" width="9.33203125" style="179" customWidth="1"/>
    <col min="7432" max="7681" width="11.44140625" style="179"/>
    <col min="7682" max="7682" width="5" style="179" customWidth="1"/>
    <col min="7683" max="7683" width="30.33203125" style="179" customWidth="1"/>
    <col min="7684" max="7684" width="10.5546875" style="179" customWidth="1"/>
    <col min="7685" max="7686" width="11.44140625" style="179"/>
    <col min="7687" max="7687" width="9.33203125" style="179" customWidth="1"/>
    <col min="7688" max="7937" width="11.44140625" style="179"/>
    <col min="7938" max="7938" width="5" style="179" customWidth="1"/>
    <col min="7939" max="7939" width="30.33203125" style="179" customWidth="1"/>
    <col min="7940" max="7940" width="10.5546875" style="179" customWidth="1"/>
    <col min="7941" max="7942" width="11.44140625" style="179"/>
    <col min="7943" max="7943" width="9.33203125" style="179" customWidth="1"/>
    <col min="7944" max="8193" width="11.44140625" style="179"/>
    <col min="8194" max="8194" width="5" style="179" customWidth="1"/>
    <col min="8195" max="8195" width="30.33203125" style="179" customWidth="1"/>
    <col min="8196" max="8196" width="10.5546875" style="179" customWidth="1"/>
    <col min="8197" max="8198" width="11.44140625" style="179"/>
    <col min="8199" max="8199" width="9.33203125" style="179" customWidth="1"/>
    <col min="8200" max="8449" width="11.44140625" style="179"/>
    <col min="8450" max="8450" width="5" style="179" customWidth="1"/>
    <col min="8451" max="8451" width="30.33203125" style="179" customWidth="1"/>
    <col min="8452" max="8452" width="10.5546875" style="179" customWidth="1"/>
    <col min="8453" max="8454" width="11.44140625" style="179"/>
    <col min="8455" max="8455" width="9.33203125" style="179" customWidth="1"/>
    <col min="8456" max="8705" width="11.44140625" style="179"/>
    <col min="8706" max="8706" width="5" style="179" customWidth="1"/>
    <col min="8707" max="8707" width="30.33203125" style="179" customWidth="1"/>
    <col min="8708" max="8708" width="10.5546875" style="179" customWidth="1"/>
    <col min="8709" max="8710" width="11.44140625" style="179"/>
    <col min="8711" max="8711" width="9.33203125" style="179" customWidth="1"/>
    <col min="8712" max="8961" width="11.44140625" style="179"/>
    <col min="8962" max="8962" width="5" style="179" customWidth="1"/>
    <col min="8963" max="8963" width="30.33203125" style="179" customWidth="1"/>
    <col min="8964" max="8964" width="10.5546875" style="179" customWidth="1"/>
    <col min="8965" max="8966" width="11.44140625" style="179"/>
    <col min="8967" max="8967" width="9.33203125" style="179" customWidth="1"/>
    <col min="8968" max="9217" width="11.44140625" style="179"/>
    <col min="9218" max="9218" width="5" style="179" customWidth="1"/>
    <col min="9219" max="9219" width="30.33203125" style="179" customWidth="1"/>
    <col min="9220" max="9220" width="10.5546875" style="179" customWidth="1"/>
    <col min="9221" max="9222" width="11.44140625" style="179"/>
    <col min="9223" max="9223" width="9.33203125" style="179" customWidth="1"/>
    <col min="9224" max="9473" width="11.44140625" style="179"/>
    <col min="9474" max="9474" width="5" style="179" customWidth="1"/>
    <col min="9475" max="9475" width="30.33203125" style="179" customWidth="1"/>
    <col min="9476" max="9476" width="10.5546875" style="179" customWidth="1"/>
    <col min="9477" max="9478" width="11.44140625" style="179"/>
    <col min="9479" max="9479" width="9.33203125" style="179" customWidth="1"/>
    <col min="9480" max="9729" width="11.44140625" style="179"/>
    <col min="9730" max="9730" width="5" style="179" customWidth="1"/>
    <col min="9731" max="9731" width="30.33203125" style="179" customWidth="1"/>
    <col min="9732" max="9732" width="10.5546875" style="179" customWidth="1"/>
    <col min="9733" max="9734" width="11.44140625" style="179"/>
    <col min="9735" max="9735" width="9.33203125" style="179" customWidth="1"/>
    <col min="9736" max="9985" width="11.44140625" style="179"/>
    <col min="9986" max="9986" width="5" style="179" customWidth="1"/>
    <col min="9987" max="9987" width="30.33203125" style="179" customWidth="1"/>
    <col min="9988" max="9988" width="10.5546875" style="179" customWidth="1"/>
    <col min="9989" max="9990" width="11.44140625" style="179"/>
    <col min="9991" max="9991" width="9.33203125" style="179" customWidth="1"/>
    <col min="9992" max="10241" width="11.44140625" style="179"/>
    <col min="10242" max="10242" width="5" style="179" customWidth="1"/>
    <col min="10243" max="10243" width="30.33203125" style="179" customWidth="1"/>
    <col min="10244" max="10244" width="10.5546875" style="179" customWidth="1"/>
    <col min="10245" max="10246" width="11.44140625" style="179"/>
    <col min="10247" max="10247" width="9.33203125" style="179" customWidth="1"/>
    <col min="10248" max="10497" width="11.44140625" style="179"/>
    <col min="10498" max="10498" width="5" style="179" customWidth="1"/>
    <col min="10499" max="10499" width="30.33203125" style="179" customWidth="1"/>
    <col min="10500" max="10500" width="10.5546875" style="179" customWidth="1"/>
    <col min="10501" max="10502" width="11.44140625" style="179"/>
    <col min="10503" max="10503" width="9.33203125" style="179" customWidth="1"/>
    <col min="10504" max="10753" width="11.44140625" style="179"/>
    <col min="10754" max="10754" width="5" style="179" customWidth="1"/>
    <col min="10755" max="10755" width="30.33203125" style="179" customWidth="1"/>
    <col min="10756" max="10756" width="10.5546875" style="179" customWidth="1"/>
    <col min="10757" max="10758" width="11.44140625" style="179"/>
    <col min="10759" max="10759" width="9.33203125" style="179" customWidth="1"/>
    <col min="10760" max="11009" width="11.44140625" style="179"/>
    <col min="11010" max="11010" width="5" style="179" customWidth="1"/>
    <col min="11011" max="11011" width="30.33203125" style="179" customWidth="1"/>
    <col min="11012" max="11012" width="10.5546875" style="179" customWidth="1"/>
    <col min="11013" max="11014" width="11.44140625" style="179"/>
    <col min="11015" max="11015" width="9.33203125" style="179" customWidth="1"/>
    <col min="11016" max="11265" width="11.44140625" style="179"/>
    <col min="11266" max="11266" width="5" style="179" customWidth="1"/>
    <col min="11267" max="11267" width="30.33203125" style="179" customWidth="1"/>
    <col min="11268" max="11268" width="10.5546875" style="179" customWidth="1"/>
    <col min="11269" max="11270" width="11.44140625" style="179"/>
    <col min="11271" max="11271" width="9.33203125" style="179" customWidth="1"/>
    <col min="11272" max="11521" width="11.44140625" style="179"/>
    <col min="11522" max="11522" width="5" style="179" customWidth="1"/>
    <col min="11523" max="11523" width="30.33203125" style="179" customWidth="1"/>
    <col min="11524" max="11524" width="10.5546875" style="179" customWidth="1"/>
    <col min="11525" max="11526" width="11.44140625" style="179"/>
    <col min="11527" max="11527" width="9.33203125" style="179" customWidth="1"/>
    <col min="11528" max="11777" width="11.44140625" style="179"/>
    <col min="11778" max="11778" width="5" style="179" customWidth="1"/>
    <col min="11779" max="11779" width="30.33203125" style="179" customWidth="1"/>
    <col min="11780" max="11780" width="10.5546875" style="179" customWidth="1"/>
    <col min="11781" max="11782" width="11.44140625" style="179"/>
    <col min="11783" max="11783" width="9.33203125" style="179" customWidth="1"/>
    <col min="11784" max="12033" width="11.44140625" style="179"/>
    <col min="12034" max="12034" width="5" style="179" customWidth="1"/>
    <col min="12035" max="12035" width="30.33203125" style="179" customWidth="1"/>
    <col min="12036" max="12036" width="10.5546875" style="179" customWidth="1"/>
    <col min="12037" max="12038" width="11.44140625" style="179"/>
    <col min="12039" max="12039" width="9.33203125" style="179" customWidth="1"/>
    <col min="12040" max="12289" width="11.44140625" style="179"/>
    <col min="12290" max="12290" width="5" style="179" customWidth="1"/>
    <col min="12291" max="12291" width="30.33203125" style="179" customWidth="1"/>
    <col min="12292" max="12292" width="10.5546875" style="179" customWidth="1"/>
    <col min="12293" max="12294" width="11.44140625" style="179"/>
    <col min="12295" max="12295" width="9.33203125" style="179" customWidth="1"/>
    <col min="12296" max="12545" width="11.44140625" style="179"/>
    <col min="12546" max="12546" width="5" style="179" customWidth="1"/>
    <col min="12547" max="12547" width="30.33203125" style="179" customWidth="1"/>
    <col min="12548" max="12548" width="10.5546875" style="179" customWidth="1"/>
    <col min="12549" max="12550" width="11.44140625" style="179"/>
    <col min="12551" max="12551" width="9.33203125" style="179" customWidth="1"/>
    <col min="12552" max="12801" width="11.44140625" style="179"/>
    <col min="12802" max="12802" width="5" style="179" customWidth="1"/>
    <col min="12803" max="12803" width="30.33203125" style="179" customWidth="1"/>
    <col min="12804" max="12804" width="10.5546875" style="179" customWidth="1"/>
    <col min="12805" max="12806" width="11.44140625" style="179"/>
    <col min="12807" max="12807" width="9.33203125" style="179" customWidth="1"/>
    <col min="12808" max="13057" width="11.44140625" style="179"/>
    <col min="13058" max="13058" width="5" style="179" customWidth="1"/>
    <col min="13059" max="13059" width="30.33203125" style="179" customWidth="1"/>
    <col min="13060" max="13060" width="10.5546875" style="179" customWidth="1"/>
    <col min="13061" max="13062" width="11.44140625" style="179"/>
    <col min="13063" max="13063" width="9.33203125" style="179" customWidth="1"/>
    <col min="13064" max="13313" width="11.44140625" style="179"/>
    <col min="13314" max="13314" width="5" style="179" customWidth="1"/>
    <col min="13315" max="13315" width="30.33203125" style="179" customWidth="1"/>
    <col min="13316" max="13316" width="10.5546875" style="179" customWidth="1"/>
    <col min="13317" max="13318" width="11.44140625" style="179"/>
    <col min="13319" max="13319" width="9.33203125" style="179" customWidth="1"/>
    <col min="13320" max="13569" width="11.44140625" style="179"/>
    <col min="13570" max="13570" width="5" style="179" customWidth="1"/>
    <col min="13571" max="13571" width="30.33203125" style="179" customWidth="1"/>
    <col min="13572" max="13572" width="10.5546875" style="179" customWidth="1"/>
    <col min="13573" max="13574" width="11.44140625" style="179"/>
    <col min="13575" max="13575" width="9.33203125" style="179" customWidth="1"/>
    <col min="13576" max="13825" width="11.44140625" style="179"/>
    <col min="13826" max="13826" width="5" style="179" customWidth="1"/>
    <col min="13827" max="13827" width="30.33203125" style="179" customWidth="1"/>
    <col min="13828" max="13828" width="10.5546875" style="179" customWidth="1"/>
    <col min="13829" max="13830" width="11.44140625" style="179"/>
    <col min="13831" max="13831" width="9.33203125" style="179" customWidth="1"/>
    <col min="13832" max="14081" width="11.44140625" style="179"/>
    <col min="14082" max="14082" width="5" style="179" customWidth="1"/>
    <col min="14083" max="14083" width="30.33203125" style="179" customWidth="1"/>
    <col min="14084" max="14084" width="10.5546875" style="179" customWidth="1"/>
    <col min="14085" max="14086" width="11.44140625" style="179"/>
    <col min="14087" max="14087" width="9.33203125" style="179" customWidth="1"/>
    <col min="14088" max="14337" width="11.44140625" style="179"/>
    <col min="14338" max="14338" width="5" style="179" customWidth="1"/>
    <col min="14339" max="14339" width="30.33203125" style="179" customWidth="1"/>
    <col min="14340" max="14340" width="10.5546875" style="179" customWidth="1"/>
    <col min="14341" max="14342" width="11.44140625" style="179"/>
    <col min="14343" max="14343" width="9.33203125" style="179" customWidth="1"/>
    <col min="14344" max="14593" width="11.44140625" style="179"/>
    <col min="14594" max="14594" width="5" style="179" customWidth="1"/>
    <col min="14595" max="14595" width="30.33203125" style="179" customWidth="1"/>
    <col min="14596" max="14596" width="10.5546875" style="179" customWidth="1"/>
    <col min="14597" max="14598" width="11.44140625" style="179"/>
    <col min="14599" max="14599" width="9.33203125" style="179" customWidth="1"/>
    <col min="14600" max="14849" width="11.44140625" style="179"/>
    <col min="14850" max="14850" width="5" style="179" customWidth="1"/>
    <col min="14851" max="14851" width="30.33203125" style="179" customWidth="1"/>
    <col min="14852" max="14852" width="10.5546875" style="179" customWidth="1"/>
    <col min="14853" max="14854" width="11.44140625" style="179"/>
    <col min="14855" max="14855" width="9.33203125" style="179" customWidth="1"/>
    <col min="14856" max="15105" width="11.44140625" style="179"/>
    <col min="15106" max="15106" width="5" style="179" customWidth="1"/>
    <col min="15107" max="15107" width="30.33203125" style="179" customWidth="1"/>
    <col min="15108" max="15108" width="10.5546875" style="179" customWidth="1"/>
    <col min="15109" max="15110" width="11.44140625" style="179"/>
    <col min="15111" max="15111" width="9.33203125" style="179" customWidth="1"/>
    <col min="15112" max="15361" width="11.44140625" style="179"/>
    <col min="15362" max="15362" width="5" style="179" customWidth="1"/>
    <col min="15363" max="15363" width="30.33203125" style="179" customWidth="1"/>
    <col min="15364" max="15364" width="10.5546875" style="179" customWidth="1"/>
    <col min="15365" max="15366" width="11.44140625" style="179"/>
    <col min="15367" max="15367" width="9.33203125" style="179" customWidth="1"/>
    <col min="15368" max="15617" width="11.44140625" style="179"/>
    <col min="15618" max="15618" width="5" style="179" customWidth="1"/>
    <col min="15619" max="15619" width="30.33203125" style="179" customWidth="1"/>
    <col min="15620" max="15620" width="10.5546875" style="179" customWidth="1"/>
    <col min="15621" max="15622" width="11.44140625" style="179"/>
    <col min="15623" max="15623" width="9.33203125" style="179" customWidth="1"/>
    <col min="15624" max="15873" width="11.44140625" style="179"/>
    <col min="15874" max="15874" width="5" style="179" customWidth="1"/>
    <col min="15875" max="15875" width="30.33203125" style="179" customWidth="1"/>
    <col min="15876" max="15876" width="10.5546875" style="179" customWidth="1"/>
    <col min="15877" max="15878" width="11.44140625" style="179"/>
    <col min="15879" max="15879" width="9.33203125" style="179" customWidth="1"/>
    <col min="15880" max="16129" width="11.44140625" style="179"/>
    <col min="16130" max="16130" width="5" style="179" customWidth="1"/>
    <col min="16131" max="16131" width="30.33203125" style="179" customWidth="1"/>
    <col min="16132" max="16132" width="10.5546875" style="179" customWidth="1"/>
    <col min="16133" max="16134" width="11.44140625" style="179"/>
    <col min="16135" max="16135" width="9.33203125" style="179" customWidth="1"/>
    <col min="16136" max="16384" width="11.44140625" style="179"/>
  </cols>
  <sheetData>
    <row r="1" spans="3:9" ht="19.95" customHeight="1" x14ac:dyDescent="0.25">
      <c r="C1" s="619" t="s">
        <v>436</v>
      </c>
      <c r="D1" s="619"/>
      <c r="E1" s="619"/>
      <c r="F1" s="619"/>
      <c r="G1" s="619"/>
      <c r="H1" s="619"/>
      <c r="I1" s="619"/>
    </row>
    <row r="3" spans="3:9" ht="14.4" customHeight="1" x14ac:dyDescent="0.25">
      <c r="C3" s="622" t="s">
        <v>184</v>
      </c>
      <c r="D3" s="623"/>
      <c r="E3" s="623"/>
      <c r="F3" s="623"/>
      <c r="G3" s="623"/>
      <c r="H3" s="624"/>
    </row>
    <row r="4" spans="3:9" x14ac:dyDescent="0.25">
      <c r="C4" s="638"/>
      <c r="D4" s="639"/>
      <c r="E4" s="639"/>
      <c r="F4" s="639"/>
      <c r="G4" s="639"/>
      <c r="H4" s="640"/>
    </row>
    <row r="5" spans="3:9" x14ac:dyDescent="0.25">
      <c r="C5" s="266" t="s">
        <v>305</v>
      </c>
      <c r="D5" s="183">
        <v>1500</v>
      </c>
      <c r="E5" s="183"/>
      <c r="F5" s="183"/>
      <c r="G5" s="183"/>
      <c r="H5" s="350"/>
    </row>
    <row r="6" spans="3:9" x14ac:dyDescent="0.25">
      <c r="C6" s="266" t="s">
        <v>306</v>
      </c>
      <c r="D6" s="183">
        <v>300</v>
      </c>
      <c r="E6" s="183"/>
      <c r="F6" s="183"/>
      <c r="G6" s="183"/>
      <c r="H6" s="350"/>
    </row>
    <row r="7" spans="3:9" x14ac:dyDescent="0.25">
      <c r="C7" s="266" t="s">
        <v>228</v>
      </c>
      <c r="D7" s="183">
        <v>750</v>
      </c>
      <c r="E7" s="183"/>
      <c r="F7" s="183"/>
      <c r="G7" s="183"/>
      <c r="H7" s="350"/>
    </row>
    <row r="8" spans="3:9" x14ac:dyDescent="0.25">
      <c r="C8" s="266" t="s">
        <v>175</v>
      </c>
      <c r="D8" s="420">
        <v>0.4</v>
      </c>
      <c r="E8" s="183"/>
      <c r="F8" s="183"/>
      <c r="G8" s="183"/>
      <c r="H8" s="350"/>
    </row>
    <row r="9" spans="3:9" x14ac:dyDescent="0.25">
      <c r="C9" s="100" t="s">
        <v>220</v>
      </c>
      <c r="D9" s="421">
        <v>0.05</v>
      </c>
      <c r="E9" s="183"/>
      <c r="F9" s="183"/>
      <c r="G9" s="183"/>
      <c r="H9" s="350"/>
    </row>
    <row r="10" spans="3:9" ht="16.2" x14ac:dyDescent="0.35">
      <c r="C10" s="8" t="s">
        <v>402</v>
      </c>
      <c r="D10" s="420">
        <v>0.05</v>
      </c>
      <c r="E10" s="183"/>
      <c r="F10" s="183"/>
      <c r="G10" s="183"/>
      <c r="H10" s="350"/>
    </row>
    <row r="11" spans="3:9" ht="16.2" x14ac:dyDescent="0.35">
      <c r="C11" s="8" t="s">
        <v>403</v>
      </c>
      <c r="D11" s="420">
        <v>7.1999999999999995E-2</v>
      </c>
      <c r="E11" s="183"/>
      <c r="F11" s="183"/>
      <c r="G11" s="183"/>
      <c r="H11" s="350"/>
    </row>
    <row r="12" spans="3:9" x14ac:dyDescent="0.25">
      <c r="C12" s="55" t="s">
        <v>434</v>
      </c>
      <c r="D12" s="423">
        <v>0.25</v>
      </c>
      <c r="E12" s="183"/>
      <c r="F12" s="183"/>
      <c r="G12" s="183"/>
      <c r="H12" s="350"/>
    </row>
    <row r="13" spans="3:9" x14ac:dyDescent="0.25">
      <c r="C13" s="8"/>
      <c r="D13" s="423">
        <v>1.5</v>
      </c>
      <c r="E13" s="183"/>
      <c r="F13" s="183"/>
      <c r="G13" s="183"/>
      <c r="H13" s="350"/>
    </row>
    <row r="14" spans="3:9" x14ac:dyDescent="0.25">
      <c r="C14" s="8"/>
      <c r="D14" s="423"/>
      <c r="E14" s="183"/>
      <c r="F14" s="183"/>
      <c r="G14" s="183"/>
      <c r="H14" s="350"/>
    </row>
    <row r="15" spans="3:9" x14ac:dyDescent="0.25">
      <c r="C15" s="262" t="s">
        <v>109</v>
      </c>
      <c r="D15" s="434"/>
      <c r="E15" s="434"/>
      <c r="F15" s="434"/>
      <c r="G15" s="434"/>
      <c r="H15" s="435"/>
      <c r="I15" s="183"/>
    </row>
    <row r="16" spans="3:9" x14ac:dyDescent="0.25">
      <c r="C16" s="330" t="s">
        <v>110</v>
      </c>
      <c r="D16" s="429"/>
      <c r="E16" s="429"/>
      <c r="F16" s="429"/>
      <c r="G16" s="429"/>
      <c r="H16" s="355"/>
      <c r="I16" s="183"/>
    </row>
    <row r="17" spans="2:9" x14ac:dyDescent="0.25">
      <c r="C17" s="107"/>
      <c r="D17" s="436">
        <v>2021</v>
      </c>
      <c r="E17" s="436">
        <f>D17+1</f>
        <v>2022</v>
      </c>
      <c r="F17" s="436">
        <f>E17+1</f>
        <v>2023</v>
      </c>
      <c r="G17" s="436">
        <f>F17+1</f>
        <v>2024</v>
      </c>
      <c r="H17" s="437">
        <f>G17+1</f>
        <v>2025</v>
      </c>
      <c r="I17" s="183"/>
    </row>
    <row r="18" spans="2:9" x14ac:dyDescent="0.25">
      <c r="C18" s="266" t="s">
        <v>18</v>
      </c>
      <c r="D18" s="183">
        <v>1200</v>
      </c>
      <c r="E18" s="183">
        <v>2400</v>
      </c>
      <c r="F18" s="183">
        <v>3900</v>
      </c>
      <c r="G18" s="183">
        <v>5600</v>
      </c>
      <c r="H18" s="350">
        <v>7500</v>
      </c>
      <c r="I18" s="183"/>
    </row>
    <row r="19" spans="2:9" x14ac:dyDescent="0.25">
      <c r="C19" s="266" t="s">
        <v>5</v>
      </c>
      <c r="D19" s="183">
        <v>180</v>
      </c>
      <c r="E19" s="183">
        <v>360</v>
      </c>
      <c r="F19" s="183">
        <v>585</v>
      </c>
      <c r="G19" s="183">
        <v>840</v>
      </c>
      <c r="H19" s="350">
        <v>1125</v>
      </c>
      <c r="I19" s="183"/>
    </row>
    <row r="20" spans="2:9" x14ac:dyDescent="0.25">
      <c r="C20" s="266" t="s">
        <v>16</v>
      </c>
      <c r="D20" s="183">
        <v>-200</v>
      </c>
      <c r="E20" s="183">
        <v>-225</v>
      </c>
      <c r="F20" s="183">
        <v>-250</v>
      </c>
      <c r="G20" s="183">
        <v>-275</v>
      </c>
      <c r="H20" s="350">
        <v>-300</v>
      </c>
      <c r="I20" s="183"/>
    </row>
    <row r="21" spans="2:9" ht="14.4" thickBot="1" x14ac:dyDescent="0.3">
      <c r="C21" s="430" t="s">
        <v>7</v>
      </c>
      <c r="D21" s="424">
        <f>D20+D19</f>
        <v>-20</v>
      </c>
      <c r="E21" s="424">
        <f>E20+E19</f>
        <v>135</v>
      </c>
      <c r="F21" s="424">
        <f>F20+F19</f>
        <v>335</v>
      </c>
      <c r="G21" s="424">
        <f>G20+G19</f>
        <v>565</v>
      </c>
      <c r="H21" s="431">
        <f>H20+H19</f>
        <v>825</v>
      </c>
      <c r="I21" s="183"/>
    </row>
    <row r="22" spans="2:9" ht="14.4" thickTop="1" x14ac:dyDescent="0.25">
      <c r="C22" s="266" t="s">
        <v>8</v>
      </c>
      <c r="D22" s="183">
        <f>-D21*0.4</f>
        <v>8</v>
      </c>
      <c r="E22" s="183">
        <f>-E21*0.4</f>
        <v>-54</v>
      </c>
      <c r="F22" s="183">
        <f>-F21*0.4</f>
        <v>-134</v>
      </c>
      <c r="G22" s="183">
        <f>-G21*0.4</f>
        <v>-226</v>
      </c>
      <c r="H22" s="350">
        <f>-H21*0.4</f>
        <v>-330</v>
      </c>
      <c r="I22" s="183"/>
    </row>
    <row r="23" spans="2:9" ht="14.4" thickBot="1" x14ac:dyDescent="0.3">
      <c r="C23" s="430" t="s">
        <v>9</v>
      </c>
      <c r="D23" s="424">
        <f>D21+D22</f>
        <v>-12</v>
      </c>
      <c r="E23" s="424">
        <f>E21+E22</f>
        <v>81</v>
      </c>
      <c r="F23" s="424">
        <f>F21+F22</f>
        <v>201</v>
      </c>
      <c r="G23" s="424">
        <f>G21+G22</f>
        <v>339</v>
      </c>
      <c r="H23" s="431">
        <f>H21+H22</f>
        <v>495</v>
      </c>
      <c r="I23" s="183"/>
    </row>
    <row r="24" spans="2:9" ht="14.4" thickTop="1" x14ac:dyDescent="0.25">
      <c r="C24" s="266" t="s">
        <v>10</v>
      </c>
      <c r="D24" s="183">
        <v>-300</v>
      </c>
      <c r="E24" s="183">
        <v>-300</v>
      </c>
      <c r="F24" s="183">
        <v>-300</v>
      </c>
      <c r="G24" s="183">
        <v>-300</v>
      </c>
      <c r="H24" s="350">
        <v>-300</v>
      </c>
      <c r="I24" s="183"/>
    </row>
    <row r="25" spans="2:9" x14ac:dyDescent="0.25">
      <c r="C25" s="266" t="s">
        <v>11</v>
      </c>
      <c r="D25" s="183">
        <v>0</v>
      </c>
      <c r="E25" s="183">
        <v>0</v>
      </c>
      <c r="F25" s="183">
        <v>0</v>
      </c>
      <c r="G25" s="183">
        <v>0</v>
      </c>
      <c r="H25" s="350">
        <v>0</v>
      </c>
    </row>
    <row r="26" spans="2:9" x14ac:dyDescent="0.25">
      <c r="C26" s="331"/>
      <c r="D26" s="432"/>
      <c r="E26" s="432"/>
      <c r="F26" s="432"/>
      <c r="G26" s="432"/>
      <c r="H26" s="433"/>
    </row>
    <row r="28" spans="2:9" x14ac:dyDescent="0.25">
      <c r="C28" s="442" t="s">
        <v>381</v>
      </c>
      <c r="D28" s="440">
        <f>+D10+D13*D11</f>
        <v>0.15799999999999997</v>
      </c>
    </row>
    <row r="29" spans="2:9" ht="16.2" x14ac:dyDescent="0.35">
      <c r="C29" s="443" t="s">
        <v>435</v>
      </c>
      <c r="D29" s="439">
        <f>+D10+D12*D11</f>
        <v>6.8000000000000005E-2</v>
      </c>
    </row>
    <row r="31" spans="2:9" x14ac:dyDescent="0.25">
      <c r="B31" s="53" t="s">
        <v>30</v>
      </c>
      <c r="C31" s="206"/>
      <c r="D31" s="206"/>
    </row>
    <row r="32" spans="2:9" x14ac:dyDescent="0.25">
      <c r="C32" s="130"/>
      <c r="D32" s="444">
        <v>2020</v>
      </c>
      <c r="E32" s="444">
        <v>2021</v>
      </c>
      <c r="F32" s="444">
        <v>2022</v>
      </c>
      <c r="G32" s="444">
        <v>2023</v>
      </c>
      <c r="H32" s="444">
        <v>2024</v>
      </c>
      <c r="I32" s="445">
        <v>2025</v>
      </c>
    </row>
    <row r="33" spans="2:12" x14ac:dyDescent="0.25">
      <c r="C33" s="266" t="s">
        <v>9</v>
      </c>
      <c r="D33" s="183"/>
      <c r="E33" s="183">
        <f>+D23</f>
        <v>-12</v>
      </c>
      <c r="F33" s="183">
        <f>+E23</f>
        <v>81</v>
      </c>
      <c r="G33" s="183">
        <f>+F23</f>
        <v>201</v>
      </c>
      <c r="H33" s="183">
        <f>+G23</f>
        <v>339</v>
      </c>
      <c r="I33" s="350">
        <f>+H23</f>
        <v>495</v>
      </c>
    </row>
    <row r="34" spans="2:12" x14ac:dyDescent="0.25">
      <c r="C34" s="266" t="s">
        <v>179</v>
      </c>
      <c r="D34" s="183"/>
      <c r="E34" s="183">
        <f>-D20</f>
        <v>200</v>
      </c>
      <c r="F34" s="183">
        <f>-E20</f>
        <v>225</v>
      </c>
      <c r="G34" s="183">
        <f>-F20</f>
        <v>250</v>
      </c>
      <c r="H34" s="183">
        <f>-G20</f>
        <v>275</v>
      </c>
      <c r="I34" s="350">
        <f>-H20</f>
        <v>300</v>
      </c>
    </row>
    <row r="35" spans="2:12" x14ac:dyDescent="0.25">
      <c r="C35" s="266" t="s">
        <v>226</v>
      </c>
      <c r="D35" s="183">
        <f>-D5</f>
        <v>-1500</v>
      </c>
      <c r="E35" s="183">
        <f>-$D$6</f>
        <v>-300</v>
      </c>
      <c r="F35" s="183">
        <f t="shared" ref="F35:I35" si="0">-$D$6</f>
        <v>-300</v>
      </c>
      <c r="G35" s="183">
        <f t="shared" si="0"/>
        <v>-300</v>
      </c>
      <c r="H35" s="183">
        <f t="shared" si="0"/>
        <v>-300</v>
      </c>
      <c r="I35" s="350">
        <f t="shared" si="0"/>
        <v>-300</v>
      </c>
    </row>
    <row r="36" spans="2:12" x14ac:dyDescent="0.25">
      <c r="C36" s="266" t="s">
        <v>43</v>
      </c>
      <c r="D36" s="183"/>
      <c r="E36" s="183">
        <v>0</v>
      </c>
      <c r="F36" s="183">
        <v>0</v>
      </c>
      <c r="G36" s="183">
        <v>0</v>
      </c>
      <c r="H36" s="183">
        <v>0</v>
      </c>
      <c r="I36" s="350">
        <v>0</v>
      </c>
    </row>
    <row r="37" spans="2:12" x14ac:dyDescent="0.25">
      <c r="C37" s="268" t="s">
        <v>98</v>
      </c>
      <c r="D37" s="311">
        <f>SUM(D33:D36)</f>
        <v>-1500</v>
      </c>
      <c r="E37" s="311">
        <f t="shared" ref="E37:I37" si="1">SUM(E33:E36)</f>
        <v>-112</v>
      </c>
      <c r="F37" s="311">
        <f t="shared" si="1"/>
        <v>6</v>
      </c>
      <c r="G37" s="311">
        <f t="shared" si="1"/>
        <v>151</v>
      </c>
      <c r="H37" s="311">
        <f t="shared" si="1"/>
        <v>314</v>
      </c>
      <c r="I37" s="312">
        <f t="shared" si="1"/>
        <v>495</v>
      </c>
      <c r="J37" s="206"/>
    </row>
    <row r="38" spans="2:12" x14ac:dyDescent="0.25">
      <c r="C38" s="266" t="s">
        <v>227</v>
      </c>
      <c r="D38" s="183"/>
      <c r="E38" s="183"/>
      <c r="F38" s="183"/>
      <c r="G38" s="183"/>
      <c r="H38" s="183"/>
      <c r="I38" s="350">
        <f>I37*(1+D9)/(D28-D9)</f>
        <v>4812.5000000000009</v>
      </c>
    </row>
    <row r="39" spans="2:12" x14ac:dyDescent="0.25">
      <c r="C39" s="267" t="s">
        <v>111</v>
      </c>
      <c r="D39" s="180">
        <f t="shared" ref="D39:I39" si="2">+D37+D38</f>
        <v>-1500</v>
      </c>
      <c r="E39" s="180">
        <f t="shared" si="2"/>
        <v>-112</v>
      </c>
      <c r="F39" s="180">
        <f t="shared" si="2"/>
        <v>6</v>
      </c>
      <c r="G39" s="180">
        <f t="shared" si="2"/>
        <v>151</v>
      </c>
      <c r="H39" s="180">
        <f t="shared" si="2"/>
        <v>314</v>
      </c>
      <c r="I39" s="309">
        <f t="shared" si="2"/>
        <v>5307.5000000000009</v>
      </c>
    </row>
    <row r="41" spans="2:12" x14ac:dyDescent="0.25">
      <c r="C41" s="219" t="s">
        <v>364</v>
      </c>
      <c r="D41" s="309">
        <f>+D39+NPV(D28,E39:I39)</f>
        <v>1228.4850852259283</v>
      </c>
    </row>
    <row r="43" spans="2:12" x14ac:dyDescent="0.25">
      <c r="B43" s="53" t="s">
        <v>31</v>
      </c>
      <c r="C43" s="446" t="s">
        <v>115</v>
      </c>
      <c r="D43" s="447">
        <f>+D7</f>
        <v>750</v>
      </c>
      <c r="F43" s="64"/>
      <c r="G43" s="428"/>
      <c r="H43" s="428"/>
      <c r="I43" s="428"/>
      <c r="J43" s="428"/>
      <c r="K43" s="428"/>
      <c r="L43" s="183"/>
    </row>
    <row r="44" spans="2:12" x14ac:dyDescent="0.25">
      <c r="C44" s="333" t="s">
        <v>116</v>
      </c>
      <c r="D44" s="448">
        <f>+D7*D29</f>
        <v>51.000000000000007</v>
      </c>
      <c r="H44" s="428"/>
      <c r="I44" s="428"/>
      <c r="J44" s="428"/>
      <c r="K44" s="50"/>
      <c r="L44" s="183"/>
    </row>
    <row r="45" spans="2:12" x14ac:dyDescent="0.25">
      <c r="C45" s="333" t="s">
        <v>117</v>
      </c>
      <c r="D45" s="448">
        <f>+D44*D8</f>
        <v>20.400000000000006</v>
      </c>
      <c r="H45" s="183"/>
      <c r="I45" s="183"/>
      <c r="J45" s="183"/>
      <c r="K45" s="183"/>
      <c r="L45" s="183"/>
    </row>
    <row r="46" spans="2:12" x14ac:dyDescent="0.25">
      <c r="C46" s="332" t="s">
        <v>268</v>
      </c>
      <c r="D46" s="312">
        <f>+D45/D29</f>
        <v>300.00000000000006</v>
      </c>
    </row>
    <row r="48" spans="2:12" x14ac:dyDescent="0.25">
      <c r="C48" s="219" t="s">
        <v>114</v>
      </c>
      <c r="D48" s="309">
        <f>+D41+D46</f>
        <v>1528.4850852259283</v>
      </c>
    </row>
  </sheetData>
  <sheetProtection algorithmName="SHA-512" hashValue="2WgE1V5e8PcYlvLXKZ3XJPfeavUxf4z6z6epWhNUhqiarUVX0XxelN4C19zppDEc3jZMBE5WVMQdK20jUAluZw==" saltValue="z/LcByYN1LCdIblVZRMwXw==" spinCount="100000" sheet="1" objects="1" scenarios="1"/>
  <mergeCells count="2">
    <mergeCell ref="C1:I1"/>
    <mergeCell ref="C3:H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1:L51"/>
  <sheetViews>
    <sheetView topLeftCell="A40" zoomScaleNormal="100" workbookViewId="0">
      <selection activeCell="M43" sqref="M43"/>
    </sheetView>
  </sheetViews>
  <sheetFormatPr baseColWidth="10" defaultColWidth="11.44140625" defaultRowHeight="13.8" x14ac:dyDescent="0.25"/>
  <cols>
    <col min="1" max="1" width="22" style="86" customWidth="1"/>
    <col min="2" max="2" width="6.109375" style="86" customWidth="1"/>
    <col min="3" max="3" width="11.5546875" style="86" bestFit="1" customWidth="1"/>
    <col min="4" max="4" width="2.109375" style="86" customWidth="1"/>
    <col min="5" max="5" width="16.33203125" style="86" customWidth="1"/>
    <col min="6" max="6" width="13" style="86" bestFit="1" customWidth="1"/>
    <col min="7" max="7" width="11" style="86" customWidth="1"/>
    <col min="8" max="8" width="13.33203125" style="86" bestFit="1" customWidth="1"/>
    <col min="9" max="9" width="2.88671875" style="86" customWidth="1"/>
    <col min="10" max="10" width="9.33203125" style="86" customWidth="1"/>
    <col min="11" max="11" width="11.5546875" style="86" customWidth="1"/>
    <col min="12" max="12" width="11.109375" style="86" customWidth="1"/>
    <col min="13" max="16384" width="11.44140625" style="86"/>
  </cols>
  <sheetData>
    <row r="1" spans="3:12" ht="19.95" customHeight="1" x14ac:dyDescent="0.25">
      <c r="C1" s="619" t="s">
        <v>437</v>
      </c>
      <c r="D1" s="619"/>
      <c r="E1" s="619"/>
      <c r="F1" s="619"/>
      <c r="G1" s="619"/>
      <c r="H1" s="619"/>
      <c r="I1" s="619"/>
      <c r="J1" s="619"/>
      <c r="K1" s="619"/>
      <c r="L1" s="619"/>
    </row>
    <row r="3" spans="3:12" ht="14.4" customHeight="1" x14ac:dyDescent="0.25">
      <c r="E3" s="622" t="s">
        <v>184</v>
      </c>
      <c r="F3" s="623"/>
      <c r="G3" s="624"/>
      <c r="H3" s="88"/>
      <c r="I3" s="88"/>
      <c r="J3" s="88"/>
    </row>
    <row r="4" spans="3:12" x14ac:dyDescent="0.25">
      <c r="E4" s="638"/>
      <c r="F4" s="639"/>
      <c r="G4" s="640"/>
      <c r="H4" s="270"/>
      <c r="I4" s="270"/>
      <c r="J4" s="270"/>
    </row>
    <row r="5" spans="3:12" x14ac:dyDescent="0.25">
      <c r="E5" s="100" t="s">
        <v>232</v>
      </c>
      <c r="F5" s="92">
        <v>0.3</v>
      </c>
      <c r="G5" s="103"/>
      <c r="H5" s="88"/>
      <c r="I5" s="88"/>
      <c r="J5" s="88"/>
    </row>
    <row r="6" spans="3:12" x14ac:dyDescent="0.25">
      <c r="E6" s="100" t="s">
        <v>382</v>
      </c>
      <c r="F6" s="288">
        <v>100000</v>
      </c>
      <c r="G6" s="103"/>
      <c r="H6" s="88"/>
      <c r="I6" s="88"/>
      <c r="J6" s="88"/>
    </row>
    <row r="7" spans="3:12" x14ac:dyDescent="0.25">
      <c r="E7" s="100" t="s">
        <v>383</v>
      </c>
      <c r="F7" s="288">
        <v>3000000</v>
      </c>
      <c r="G7" s="103"/>
      <c r="H7" s="88"/>
      <c r="I7" s="88"/>
      <c r="J7" s="88"/>
    </row>
    <row r="8" spans="3:12" x14ac:dyDescent="0.25">
      <c r="E8" s="100" t="s">
        <v>152</v>
      </c>
      <c r="F8" s="92">
        <v>0.1</v>
      </c>
      <c r="G8" s="103"/>
      <c r="H8" s="88"/>
      <c r="I8" s="88"/>
      <c r="J8" s="88"/>
    </row>
    <row r="9" spans="3:12" x14ac:dyDescent="0.25">
      <c r="E9" s="100" t="s">
        <v>161</v>
      </c>
      <c r="F9" s="92">
        <v>0.6</v>
      </c>
      <c r="G9" s="103"/>
      <c r="H9" s="88"/>
      <c r="I9" s="88"/>
      <c r="J9" s="88"/>
    </row>
    <row r="10" spans="3:12" x14ac:dyDescent="0.25">
      <c r="E10" s="100" t="s">
        <v>164</v>
      </c>
      <c r="F10" s="92">
        <f>1/(1+F11)</f>
        <v>0.4</v>
      </c>
      <c r="G10" s="103"/>
      <c r="H10" s="88"/>
      <c r="I10" s="88"/>
      <c r="J10" s="88"/>
    </row>
    <row r="11" spans="3:12" x14ac:dyDescent="0.25">
      <c r="E11" s="100" t="s">
        <v>19</v>
      </c>
      <c r="F11" s="88">
        <f>+F9/(1-F9)</f>
        <v>1.4999999999999998</v>
      </c>
      <c r="G11" s="103"/>
      <c r="H11" s="88"/>
      <c r="I11" s="88"/>
      <c r="J11" s="88"/>
    </row>
    <row r="12" spans="3:12" x14ac:dyDescent="0.25">
      <c r="E12" s="104"/>
      <c r="F12" s="105"/>
      <c r="G12" s="106"/>
      <c r="H12" s="88"/>
      <c r="I12" s="88"/>
      <c r="J12" s="88"/>
    </row>
    <row r="15" spans="3:12" x14ac:dyDescent="0.25">
      <c r="E15" s="38" t="s">
        <v>231</v>
      </c>
      <c r="F15" s="460">
        <v>1.22</v>
      </c>
      <c r="G15" s="461" t="s">
        <v>271</v>
      </c>
      <c r="H15" s="461"/>
      <c r="I15" s="461"/>
      <c r="J15" s="142"/>
    </row>
    <row r="16" spans="3:12" ht="16.2" x14ac:dyDescent="0.35">
      <c r="E16" s="124" t="s">
        <v>402</v>
      </c>
      <c r="F16" s="458">
        <v>6.4000000000000003E-3</v>
      </c>
      <c r="G16" s="459">
        <v>43952</v>
      </c>
      <c r="H16" s="146"/>
      <c r="I16" s="146"/>
      <c r="J16" s="147"/>
    </row>
    <row r="17" spans="3:12" ht="16.2" x14ac:dyDescent="0.35">
      <c r="E17" s="124" t="s">
        <v>403</v>
      </c>
      <c r="F17" s="458">
        <v>4.8300000000000003E-2</v>
      </c>
      <c r="G17" s="451" t="s">
        <v>207</v>
      </c>
      <c r="H17" s="146"/>
      <c r="I17" s="146"/>
      <c r="J17" s="147"/>
    </row>
    <row r="18" spans="3:12" x14ac:dyDescent="0.25">
      <c r="E18" s="75" t="s">
        <v>20</v>
      </c>
      <c r="F18" s="462">
        <v>1.9699999999999999E-2</v>
      </c>
      <c r="G18" s="463">
        <v>43952</v>
      </c>
      <c r="H18" s="453"/>
      <c r="I18" s="453"/>
      <c r="J18" s="335"/>
    </row>
    <row r="21" spans="3:12" ht="16.2" x14ac:dyDescent="0.35">
      <c r="E21" s="464" t="s">
        <v>422</v>
      </c>
      <c r="F21" s="132">
        <f>+F15*((1+F11*(1-F5)))</f>
        <v>2.5009999999999999</v>
      </c>
    </row>
    <row r="22" spans="3:12" ht="6" customHeight="1" x14ac:dyDescent="0.25">
      <c r="E22" s="313"/>
      <c r="F22" s="129"/>
    </row>
    <row r="23" spans="3:12" ht="16.2" x14ac:dyDescent="0.35">
      <c r="E23" s="33" t="s">
        <v>405</v>
      </c>
      <c r="F23" s="465">
        <f>+F16+(F21*F17)+F18</f>
        <v>0.14689829999999998</v>
      </c>
    </row>
    <row r="24" spans="3:12" ht="16.2" x14ac:dyDescent="0.35">
      <c r="E24" s="466" t="s">
        <v>406</v>
      </c>
      <c r="F24" s="342">
        <f>+F9*F8*(1-F5)+F10*F23</f>
        <v>0.10075931999999999</v>
      </c>
    </row>
    <row r="27" spans="3:12" x14ac:dyDescent="0.25">
      <c r="C27" s="17" t="s">
        <v>23</v>
      </c>
      <c r="D27" s="156"/>
      <c r="E27" s="156"/>
      <c r="F27" s="18" t="s">
        <v>0</v>
      </c>
      <c r="G27" s="18" t="s">
        <v>1</v>
      </c>
      <c r="H27" s="18" t="s">
        <v>2</v>
      </c>
      <c r="I27" s="18"/>
      <c r="J27" s="18"/>
      <c r="K27" s="18" t="s">
        <v>118</v>
      </c>
      <c r="L27" s="354"/>
    </row>
    <row r="28" spans="3:12" x14ac:dyDescent="0.25">
      <c r="C28" s="145"/>
      <c r="D28" s="146"/>
      <c r="E28" s="146"/>
      <c r="F28" s="146"/>
      <c r="G28" s="146"/>
      <c r="H28" s="146"/>
      <c r="I28" s="146"/>
      <c r="J28" s="146"/>
      <c r="K28" s="146"/>
      <c r="L28" s="147"/>
    </row>
    <row r="29" spans="3:12" x14ac:dyDescent="0.25">
      <c r="C29" s="145"/>
      <c r="D29" s="146"/>
      <c r="E29" s="146"/>
      <c r="F29" s="146"/>
      <c r="G29" s="146"/>
      <c r="H29" s="146"/>
      <c r="I29" s="146"/>
      <c r="J29" s="450">
        <v>0.2</v>
      </c>
      <c r="K29" s="146">
        <v>800000</v>
      </c>
      <c r="L29" s="147"/>
    </row>
    <row r="30" spans="3:12" x14ac:dyDescent="0.25">
      <c r="C30" s="145"/>
      <c r="D30" s="146"/>
      <c r="E30" s="451" t="s">
        <v>229</v>
      </c>
      <c r="F30" s="146"/>
      <c r="G30" s="146"/>
      <c r="H30" s="146"/>
      <c r="I30" s="146"/>
      <c r="J30" s="146"/>
      <c r="K30" s="146"/>
      <c r="L30" s="452"/>
    </row>
    <row r="31" spans="3:12" x14ac:dyDescent="0.25">
      <c r="C31" s="145"/>
      <c r="D31" s="146"/>
      <c r="E31" s="450">
        <v>0.3</v>
      </c>
      <c r="F31" s="451">
        <v>0</v>
      </c>
      <c r="G31" s="451">
        <v>0</v>
      </c>
      <c r="H31" s="451">
        <f>-F7</f>
        <v>-3000000</v>
      </c>
      <c r="I31" s="146"/>
      <c r="J31" s="146"/>
      <c r="K31" s="146">
        <v>400000</v>
      </c>
      <c r="L31" s="452">
        <v>0.6</v>
      </c>
    </row>
    <row r="32" spans="3:12" x14ac:dyDescent="0.25">
      <c r="C32" s="145"/>
      <c r="D32" s="146"/>
      <c r="E32" s="146"/>
      <c r="F32" s="146"/>
      <c r="G32" s="146"/>
      <c r="H32" s="146"/>
      <c r="I32" s="146"/>
      <c r="J32" s="146"/>
      <c r="K32" s="146"/>
      <c r="L32" s="452"/>
    </row>
    <row r="33" spans="3:12" x14ac:dyDescent="0.25">
      <c r="C33" s="145"/>
      <c r="D33" s="146"/>
      <c r="E33" s="146"/>
      <c r="F33" s="146"/>
      <c r="G33" s="146"/>
      <c r="H33" s="146"/>
      <c r="I33" s="146"/>
      <c r="J33" s="450">
        <v>0.2</v>
      </c>
      <c r="K33" s="146">
        <v>-10000</v>
      </c>
      <c r="L33" s="147"/>
    </row>
    <row r="34" spans="3:12" x14ac:dyDescent="0.25">
      <c r="C34" s="145">
        <f>-F6</f>
        <v>-100000</v>
      </c>
      <c r="D34" s="417"/>
      <c r="E34" s="146"/>
      <c r="F34" s="146"/>
      <c r="G34" s="146"/>
      <c r="H34" s="146"/>
      <c r="I34" s="146"/>
      <c r="J34" s="146"/>
      <c r="K34" s="146"/>
      <c r="L34" s="147"/>
    </row>
    <row r="35" spans="3:12" x14ac:dyDescent="0.25">
      <c r="C35" s="145"/>
      <c r="D35" s="146"/>
      <c r="E35" s="146"/>
      <c r="F35" s="146"/>
      <c r="G35" s="146"/>
      <c r="H35" s="146"/>
      <c r="I35" s="146"/>
      <c r="J35" s="146"/>
      <c r="K35" s="146"/>
      <c r="L35" s="147"/>
    </row>
    <row r="36" spans="3:12" x14ac:dyDescent="0.25">
      <c r="C36" s="145"/>
      <c r="D36" s="146"/>
      <c r="E36" s="146"/>
      <c r="F36" s="146"/>
      <c r="G36" s="146"/>
      <c r="H36" s="146"/>
      <c r="I36" s="146"/>
      <c r="J36" s="146"/>
      <c r="K36" s="146"/>
      <c r="L36" s="147"/>
    </row>
    <row r="37" spans="3:12" x14ac:dyDescent="0.25">
      <c r="C37" s="145"/>
      <c r="D37" s="146"/>
      <c r="E37" s="146"/>
      <c r="F37" s="146"/>
      <c r="G37" s="146"/>
      <c r="H37" s="146"/>
      <c r="I37" s="146"/>
      <c r="J37" s="146"/>
      <c r="K37" s="146"/>
      <c r="L37" s="147"/>
    </row>
    <row r="38" spans="3:12" x14ac:dyDescent="0.25">
      <c r="C38" s="145"/>
      <c r="D38" s="146"/>
      <c r="E38" s="450">
        <v>0.7</v>
      </c>
      <c r="F38" s="451">
        <v>0</v>
      </c>
      <c r="G38" s="146"/>
      <c r="H38" s="146"/>
      <c r="I38" s="146"/>
      <c r="J38" s="146"/>
      <c r="K38" s="146"/>
      <c r="L38" s="147"/>
    </row>
    <row r="39" spans="3:12" x14ac:dyDescent="0.25">
      <c r="C39" s="136"/>
      <c r="D39" s="453"/>
      <c r="E39" s="43" t="s">
        <v>230</v>
      </c>
      <c r="F39" s="453"/>
      <c r="G39" s="453"/>
      <c r="H39" s="453"/>
      <c r="I39" s="453"/>
      <c r="J39" s="453"/>
      <c r="K39" s="453"/>
      <c r="L39" s="335"/>
    </row>
    <row r="42" spans="3:12" x14ac:dyDescent="0.25">
      <c r="E42" s="128" t="s">
        <v>308</v>
      </c>
      <c r="F42" s="196">
        <f>+H31</f>
        <v>-3000000</v>
      </c>
      <c r="G42" s="454" t="s">
        <v>112</v>
      </c>
      <c r="H42" s="26">
        <f>+K29*J29+K31*L31+K33*J33</f>
        <v>398000</v>
      </c>
    </row>
    <row r="43" spans="3:12" x14ac:dyDescent="0.25">
      <c r="E43" s="119"/>
      <c r="F43" s="173"/>
      <c r="G43" s="455"/>
      <c r="H43" s="456">
        <f>+F24</f>
        <v>0.10075931999999999</v>
      </c>
    </row>
    <row r="44" spans="3:12" x14ac:dyDescent="0.25">
      <c r="G44" s="7"/>
      <c r="H44" s="7"/>
    </row>
    <row r="45" spans="3:12" x14ac:dyDescent="0.25">
      <c r="E45" s="120" t="s">
        <v>308</v>
      </c>
      <c r="F45" s="112">
        <f>+F42+H42/H43</f>
        <v>950006.80830319272</v>
      </c>
      <c r="G45" s="7"/>
      <c r="H45" s="7"/>
    </row>
    <row r="46" spans="3:12" ht="6.6" customHeight="1" x14ac:dyDescent="0.25">
      <c r="G46" s="7"/>
      <c r="H46" s="7"/>
    </row>
    <row r="47" spans="3:12" ht="15.6" customHeight="1" x14ac:dyDescent="0.25">
      <c r="E47" s="128" t="s">
        <v>307</v>
      </c>
      <c r="F47" s="196">
        <f>+C34</f>
        <v>-100000</v>
      </c>
      <c r="G47" s="454" t="s">
        <v>112</v>
      </c>
      <c r="H47" s="25">
        <f>+F45</f>
        <v>950006.80830319272</v>
      </c>
      <c r="I47" s="641" t="s">
        <v>113</v>
      </c>
      <c r="J47" s="643">
        <v>0.3</v>
      </c>
    </row>
    <row r="48" spans="3:12" ht="15.6" x14ac:dyDescent="0.25">
      <c r="E48" s="167"/>
      <c r="F48" s="168"/>
      <c r="G48" s="168"/>
      <c r="H48" s="457" t="s">
        <v>438</v>
      </c>
      <c r="I48" s="642"/>
      <c r="J48" s="644"/>
    </row>
    <row r="49" spans="5:10" ht="8.4" customHeight="1" x14ac:dyDescent="0.25">
      <c r="E49" s="119"/>
      <c r="F49" s="173"/>
      <c r="G49" s="173"/>
      <c r="H49" s="173"/>
      <c r="I49" s="173"/>
      <c r="J49" s="174"/>
    </row>
    <row r="51" spans="5:10" x14ac:dyDescent="0.25">
      <c r="E51" s="120" t="s">
        <v>307</v>
      </c>
      <c r="F51" s="112">
        <f>+F47+((H47/(1+F24)^3)*J47)</f>
        <v>113683.43607884715</v>
      </c>
    </row>
  </sheetData>
  <sheetProtection algorithmName="SHA-512" hashValue="7DXQBQxoI5OGBa2rU675uqIsFmj1yYcPlJXRRJy2i9XsX1x7EUXgSnQAR17Y8Fshj4hFgERtIR0Ygmwx7Cv6OA==" saltValue="jg7r5NUDfCrjxuJ4nZgfIA==" spinCount="100000" sheet="1" objects="1" scenarios="1"/>
  <mergeCells count="4">
    <mergeCell ref="I47:I48"/>
    <mergeCell ref="J47:J48"/>
    <mergeCell ref="C1:L1"/>
    <mergeCell ref="E3:G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K41"/>
  <sheetViews>
    <sheetView zoomScaleNormal="100" workbookViewId="0">
      <selection activeCell="D33" sqref="D33"/>
    </sheetView>
  </sheetViews>
  <sheetFormatPr baseColWidth="10" defaultColWidth="12.5546875" defaultRowHeight="13.8" x14ac:dyDescent="0.25"/>
  <cols>
    <col min="1" max="1" width="23" style="47" customWidth="1"/>
    <col min="2" max="2" width="3.88671875" style="53" customWidth="1"/>
    <col min="3" max="3" width="18.33203125" style="48" bestFit="1" customWidth="1"/>
    <col min="4" max="4" width="13.33203125" style="53" customWidth="1"/>
    <col min="5" max="5" width="12.5546875" style="53"/>
    <col min="6" max="10" width="12.5546875" style="47"/>
    <col min="11" max="11" width="22.44140625" style="47" customWidth="1"/>
    <col min="12" max="16384" width="12.5546875" style="47"/>
  </cols>
  <sheetData>
    <row r="1" spans="2:11" ht="19.95" customHeight="1" x14ac:dyDescent="0.25">
      <c r="C1" s="619" t="s">
        <v>439</v>
      </c>
      <c r="D1" s="619"/>
      <c r="E1" s="619"/>
      <c r="F1" s="619"/>
      <c r="G1" s="619"/>
      <c r="H1" s="619"/>
      <c r="I1" s="619"/>
      <c r="J1" s="619"/>
      <c r="K1" s="619"/>
    </row>
    <row r="3" spans="2:11" x14ac:dyDescent="0.25">
      <c r="B3" s="53" t="s">
        <v>30</v>
      </c>
      <c r="C3" s="48" t="s">
        <v>119</v>
      </c>
    </row>
    <row r="4" spans="2:11" x14ac:dyDescent="0.25">
      <c r="C4" s="48" t="s">
        <v>440</v>
      </c>
    </row>
    <row r="5" spans="2:11" x14ac:dyDescent="0.25">
      <c r="C5" s="48" t="s">
        <v>441</v>
      </c>
    </row>
    <row r="6" spans="2:11" x14ac:dyDescent="0.25">
      <c r="C6" s="48" t="s">
        <v>120</v>
      </c>
    </row>
    <row r="8" spans="2:11" ht="14.4" customHeight="1" x14ac:dyDescent="0.25">
      <c r="C8" s="622" t="s">
        <v>184</v>
      </c>
      <c r="D8" s="623"/>
      <c r="E8" s="624"/>
    </row>
    <row r="9" spans="2:11" x14ac:dyDescent="0.25">
      <c r="C9" s="625"/>
      <c r="D9" s="626"/>
      <c r="E9" s="627"/>
    </row>
    <row r="10" spans="2:11" x14ac:dyDescent="0.25">
      <c r="C10" s="61"/>
      <c r="D10" s="476" t="s">
        <v>23</v>
      </c>
      <c r="E10" s="477" t="s">
        <v>0</v>
      </c>
    </row>
    <row r="11" spans="2:11" x14ac:dyDescent="0.25">
      <c r="C11" s="55" t="s">
        <v>27</v>
      </c>
      <c r="D11" s="64">
        <v>450000</v>
      </c>
      <c r="E11" s="65"/>
    </row>
    <row r="12" spans="2:11" x14ac:dyDescent="0.25">
      <c r="C12" s="55" t="s">
        <v>233</v>
      </c>
      <c r="D12" s="64">
        <v>250000</v>
      </c>
      <c r="E12" s="65"/>
    </row>
    <row r="13" spans="2:11" x14ac:dyDescent="0.25">
      <c r="C13" s="55" t="s">
        <v>95</v>
      </c>
      <c r="D13" s="64"/>
      <c r="E13" s="65">
        <v>75000</v>
      </c>
    </row>
    <row r="14" spans="2:11" x14ac:dyDescent="0.25">
      <c r="C14" s="100" t="s">
        <v>234</v>
      </c>
      <c r="D14" s="64"/>
      <c r="E14" s="472">
        <v>0.05</v>
      </c>
    </row>
    <row r="15" spans="2:11" x14ac:dyDescent="0.25">
      <c r="C15" s="55" t="s">
        <v>235</v>
      </c>
      <c r="D15" s="64"/>
      <c r="E15" s="472">
        <v>0.4</v>
      </c>
    </row>
    <row r="16" spans="2:11" x14ac:dyDescent="0.25">
      <c r="C16" s="55" t="s">
        <v>238</v>
      </c>
      <c r="D16" s="467">
        <v>400</v>
      </c>
      <c r="E16" s="473" t="s">
        <v>236</v>
      </c>
    </row>
    <row r="17" spans="2:9" x14ac:dyDescent="0.25">
      <c r="C17" s="55" t="s">
        <v>19</v>
      </c>
      <c r="D17" s="468">
        <v>0.4</v>
      </c>
      <c r="E17" s="65"/>
    </row>
    <row r="18" spans="2:9" x14ac:dyDescent="0.25">
      <c r="C18" s="55" t="s">
        <v>161</v>
      </c>
      <c r="D18" s="469">
        <f>1-D19</f>
        <v>0.2857142857142857</v>
      </c>
      <c r="E18" s="73"/>
    </row>
    <row r="19" spans="2:9" x14ac:dyDescent="0.25">
      <c r="C19" s="55" t="s">
        <v>164</v>
      </c>
      <c r="D19" s="469">
        <f>1/(1+D17)</f>
        <v>0.7142857142857143</v>
      </c>
      <c r="E19" s="73"/>
    </row>
    <row r="20" spans="2:9" ht="16.2" x14ac:dyDescent="0.35">
      <c r="C20" s="8" t="s">
        <v>402</v>
      </c>
      <c r="D20" s="469">
        <v>4.3799999999999999E-2</v>
      </c>
      <c r="E20" s="65"/>
    </row>
    <row r="21" spans="2:9" ht="16.2" x14ac:dyDescent="0.35">
      <c r="C21" s="8" t="s">
        <v>403</v>
      </c>
      <c r="D21" s="469">
        <v>7.0000000000000007E-2</v>
      </c>
      <c r="E21" s="65"/>
      <c r="I21" s="470"/>
    </row>
    <row r="22" spans="2:9" x14ac:dyDescent="0.25">
      <c r="C22" s="8" t="s">
        <v>20</v>
      </c>
      <c r="D22" s="64">
        <v>200</v>
      </c>
      <c r="E22" s="473" t="s">
        <v>236</v>
      </c>
    </row>
    <row r="23" spans="2:9" x14ac:dyDescent="0.25">
      <c r="C23" s="20" t="s">
        <v>237</v>
      </c>
      <c r="D23" s="64">
        <v>1.2</v>
      </c>
      <c r="E23" s="65"/>
      <c r="I23" s="242"/>
    </row>
    <row r="24" spans="2:9" x14ac:dyDescent="0.25">
      <c r="C24" s="55" t="s">
        <v>174</v>
      </c>
      <c r="D24" s="468">
        <v>0.4</v>
      </c>
      <c r="E24" s="65"/>
    </row>
    <row r="25" spans="2:9" x14ac:dyDescent="0.25">
      <c r="C25" s="438"/>
      <c r="D25" s="474"/>
      <c r="E25" s="475"/>
    </row>
    <row r="27" spans="2:9" x14ac:dyDescent="0.25">
      <c r="C27" s="47"/>
      <c r="D27" s="47"/>
      <c r="E27" s="47"/>
    </row>
    <row r="28" spans="2:9" x14ac:dyDescent="0.25">
      <c r="B28" s="53" t="s">
        <v>31</v>
      </c>
      <c r="C28" s="480"/>
      <c r="D28" s="481">
        <f>(1/(1+(D24*(1-E15))))*D23</f>
        <v>0.967741935483871</v>
      </c>
      <c r="E28" s="47"/>
    </row>
    <row r="29" spans="2:9" ht="16.2" x14ac:dyDescent="0.35">
      <c r="C29" s="259" t="s">
        <v>404</v>
      </c>
      <c r="D29" s="482">
        <f>+D28*(1+D17*(1-E15))</f>
        <v>1.2</v>
      </c>
      <c r="E29" s="47"/>
    </row>
    <row r="30" spans="2:9" x14ac:dyDescent="0.25">
      <c r="C30" s="259" t="s">
        <v>381</v>
      </c>
      <c r="D30" s="85">
        <f>+D20+(D28*D21)+(D22/10000)</f>
        <v>0.13154193548387097</v>
      </c>
      <c r="E30" s="47"/>
      <c r="G30" s="471"/>
    </row>
    <row r="31" spans="2:9" ht="16.2" x14ac:dyDescent="0.35">
      <c r="C31" s="259" t="s">
        <v>408</v>
      </c>
      <c r="D31" s="85">
        <f>+D20+D21*D29+(D22/10000)</f>
        <v>0.14779999999999999</v>
      </c>
      <c r="E31" s="47"/>
    </row>
    <row r="32" spans="2:9" x14ac:dyDescent="0.25">
      <c r="B32" s="47"/>
      <c r="C32" s="483"/>
      <c r="D32" s="484"/>
      <c r="E32" s="47"/>
    </row>
    <row r="33" spans="2:10" x14ac:dyDescent="0.25">
      <c r="C33" s="483" t="s">
        <v>152</v>
      </c>
      <c r="D33" s="85">
        <f>+D20+(D16/10000)</f>
        <v>8.3799999999999999E-2</v>
      </c>
      <c r="E33" s="47"/>
    </row>
    <row r="34" spans="2:10" ht="16.2" x14ac:dyDescent="0.35">
      <c r="C34" s="42" t="s">
        <v>409</v>
      </c>
      <c r="D34" s="485">
        <f>+D33*D18*(1-E15)+D19*D31</f>
        <v>0.11993714285714285</v>
      </c>
      <c r="E34" s="47"/>
    </row>
    <row r="35" spans="2:10" x14ac:dyDescent="0.25">
      <c r="C35" s="47"/>
      <c r="D35" s="47"/>
      <c r="E35" s="47"/>
    </row>
    <row r="36" spans="2:10" x14ac:dyDescent="0.25">
      <c r="B36" s="53" t="s">
        <v>32</v>
      </c>
      <c r="C36" s="78" t="s">
        <v>157</v>
      </c>
      <c r="D36" s="71" t="s">
        <v>23</v>
      </c>
      <c r="E36" s="71" t="s">
        <v>0</v>
      </c>
      <c r="F36" s="71" t="s">
        <v>1</v>
      </c>
      <c r="G36" s="71" t="s">
        <v>2</v>
      </c>
      <c r="H36" s="71" t="s">
        <v>3</v>
      </c>
      <c r="I36" s="71" t="s">
        <v>38</v>
      </c>
      <c r="J36" s="72" t="s">
        <v>126</v>
      </c>
    </row>
    <row r="37" spans="2:10" x14ac:dyDescent="0.25">
      <c r="C37" s="478"/>
      <c r="D37" s="428">
        <f>-D11-D12</f>
        <v>-700000</v>
      </c>
      <c r="E37" s="428">
        <f>+E13</f>
        <v>75000</v>
      </c>
      <c r="F37" s="428">
        <f>+E37*(1+$E$14)</f>
        <v>78750</v>
      </c>
      <c r="G37" s="428">
        <f>+F37*(1+$E$14)</f>
        <v>82687.5</v>
      </c>
      <c r="H37" s="428">
        <f>+G37*(1+$E$14)</f>
        <v>86821.875</v>
      </c>
      <c r="I37" s="428">
        <f>+H37*(1+$E$14)</f>
        <v>91162.96875</v>
      </c>
      <c r="J37" s="73">
        <f>+I37</f>
        <v>91162.96875</v>
      </c>
    </row>
    <row r="38" spans="2:10" x14ac:dyDescent="0.25">
      <c r="C38" s="55"/>
      <c r="D38" s="64"/>
      <c r="E38" s="64"/>
      <c r="F38" s="428"/>
      <c r="G38" s="428"/>
      <c r="H38" s="428"/>
      <c r="I38" s="428">
        <f>+J37/D34</f>
        <v>760089.54839439713</v>
      </c>
      <c r="J38" s="73"/>
    </row>
    <row r="39" spans="2:10" x14ac:dyDescent="0.25">
      <c r="C39" s="67" t="s">
        <v>98</v>
      </c>
      <c r="D39" s="68">
        <f>SUM(D37:D38)</f>
        <v>-700000</v>
      </c>
      <c r="E39" s="68">
        <f t="shared" ref="E39:I39" si="0">SUM(E37:E38)</f>
        <v>75000</v>
      </c>
      <c r="F39" s="68">
        <f t="shared" si="0"/>
        <v>78750</v>
      </c>
      <c r="G39" s="68">
        <f t="shared" si="0"/>
        <v>82687.5</v>
      </c>
      <c r="H39" s="68">
        <f t="shared" si="0"/>
        <v>86821.875</v>
      </c>
      <c r="I39" s="68">
        <f t="shared" si="0"/>
        <v>851252.51714439713</v>
      </c>
      <c r="J39" s="479"/>
    </row>
    <row r="41" spans="2:10" x14ac:dyDescent="0.25">
      <c r="C41" s="30" t="s">
        <v>239</v>
      </c>
      <c r="D41" s="66">
        <f>+D39+NPV(D34,E39:I39)</f>
        <v>26967.712784387288</v>
      </c>
    </row>
  </sheetData>
  <sheetProtection algorithmName="SHA-512" hashValue="sX5dsELak0WZuuXT6B61ygBlrUasfDPLkwddz8SitO1yhGlnHU5Iw1eUqV/D4u+JUeKpcM3Jn599N2xMnY3FJg==" saltValue="bQREoJirWffjaMVCgfZFPg==" spinCount="100000" sheet="1" objects="1" scenarios="1"/>
  <mergeCells count="2">
    <mergeCell ref="C1:K1"/>
    <mergeCell ref="C8:E9"/>
  </mergeCells>
  <phoneticPr fontId="1" type="noConversion"/>
  <hyperlinks>
    <hyperlink ref="C41" r:id="rId1" xr:uid="{00000000-0004-0000-0C00-000000000000}"/>
  </hyperlinks>
  <pageMargins left="0.7" right="0.7" top="0.75" bottom="0.75" header="0.3" footer="0.3"/>
  <pageSetup orientation="portrait" horizontalDpi="360" verticalDpi="360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K55"/>
  <sheetViews>
    <sheetView zoomScaleNormal="100" workbookViewId="0"/>
  </sheetViews>
  <sheetFormatPr baseColWidth="10" defaultColWidth="11.44140625" defaultRowHeight="13.8" x14ac:dyDescent="0.25"/>
  <cols>
    <col min="1" max="1" width="21.5546875" style="86" customWidth="1"/>
    <col min="2" max="2" width="5.109375" style="29" customWidth="1"/>
    <col min="3" max="3" width="35.5546875" style="86" customWidth="1"/>
    <col min="4" max="4" width="10.44140625" style="86" customWidth="1"/>
    <col min="5" max="6" width="9.6640625" style="86" bestFit="1" customWidth="1"/>
    <col min="7" max="8" width="9.33203125" style="86" bestFit="1" customWidth="1"/>
    <col min="9" max="9" width="10.33203125" style="86" customWidth="1"/>
    <col min="10" max="16384" width="11.44140625" style="86"/>
  </cols>
  <sheetData>
    <row r="1" spans="3:11" ht="19.95" customHeight="1" x14ac:dyDescent="0.25">
      <c r="C1" s="619" t="s">
        <v>442</v>
      </c>
      <c r="D1" s="619"/>
      <c r="E1" s="619"/>
      <c r="F1" s="619"/>
      <c r="G1" s="619"/>
      <c r="H1" s="619"/>
      <c r="I1" s="619"/>
    </row>
    <row r="3" spans="3:11" ht="14.4" customHeight="1" x14ac:dyDescent="0.25">
      <c r="C3" s="632" t="s">
        <v>184</v>
      </c>
      <c r="D3" s="633"/>
      <c r="E3" s="633"/>
      <c r="F3" s="633"/>
      <c r="G3" s="633"/>
      <c r="H3" s="633"/>
      <c r="I3" s="634"/>
    </row>
    <row r="4" spans="3:11" x14ac:dyDescent="0.25">
      <c r="C4" s="645"/>
      <c r="D4" s="646"/>
      <c r="E4" s="646"/>
      <c r="F4" s="646"/>
      <c r="G4" s="646"/>
      <c r="H4" s="646"/>
      <c r="I4" s="647"/>
    </row>
    <row r="5" spans="3:11" x14ac:dyDescent="0.25">
      <c r="C5" s="491"/>
      <c r="D5" s="376" t="s">
        <v>23</v>
      </c>
      <c r="E5" s="376" t="s">
        <v>0</v>
      </c>
      <c r="F5" s="376" t="s">
        <v>1</v>
      </c>
      <c r="G5" s="376" t="s">
        <v>2</v>
      </c>
      <c r="H5" s="376" t="s">
        <v>3</v>
      </c>
      <c r="I5" s="377" t="s">
        <v>38</v>
      </c>
      <c r="J5" s="374"/>
      <c r="K5" s="374"/>
    </row>
    <row r="6" spans="3:11" x14ac:dyDescent="0.25">
      <c r="C6" s="368" t="s">
        <v>24</v>
      </c>
      <c r="D6" s="359"/>
      <c r="E6" s="359">
        <v>2000</v>
      </c>
      <c r="F6" s="359">
        <v>2300</v>
      </c>
      <c r="G6" s="88">
        <v>2550</v>
      </c>
      <c r="H6" s="88">
        <v>2700</v>
      </c>
      <c r="I6" s="103">
        <v>2700</v>
      </c>
    </row>
    <row r="7" spans="3:11" x14ac:dyDescent="0.25">
      <c r="C7" s="368" t="s">
        <v>44</v>
      </c>
      <c r="D7" s="359"/>
      <c r="E7" s="650">
        <v>450</v>
      </c>
      <c r="F7" s="650"/>
      <c r="G7" s="650"/>
      <c r="H7" s="650"/>
      <c r="I7" s="651"/>
    </row>
    <row r="8" spans="3:11" x14ac:dyDescent="0.25">
      <c r="C8" s="368" t="s">
        <v>241</v>
      </c>
      <c r="D8" s="359"/>
      <c r="E8" s="652">
        <v>0.4</v>
      </c>
      <c r="F8" s="652"/>
      <c r="G8" s="652"/>
      <c r="H8" s="652"/>
      <c r="I8" s="653"/>
    </row>
    <row r="9" spans="3:11" x14ac:dyDescent="0.25">
      <c r="C9" s="368" t="s">
        <v>242</v>
      </c>
      <c r="D9" s="359"/>
      <c r="E9" s="652">
        <v>0.15</v>
      </c>
      <c r="F9" s="652"/>
      <c r="G9" s="652"/>
      <c r="H9" s="652"/>
      <c r="I9" s="653"/>
    </row>
    <row r="10" spans="3:11" x14ac:dyDescent="0.25">
      <c r="C10" s="368" t="s">
        <v>361</v>
      </c>
      <c r="D10" s="359"/>
      <c r="E10" s="648">
        <v>0.2</v>
      </c>
      <c r="F10" s="648"/>
      <c r="G10" s="648"/>
      <c r="H10" s="648"/>
      <c r="I10" s="649"/>
    </row>
    <row r="11" spans="3:11" x14ac:dyDescent="0.25">
      <c r="C11" s="368" t="s">
        <v>175</v>
      </c>
      <c r="D11" s="359"/>
      <c r="E11" s="648">
        <v>0.3</v>
      </c>
      <c r="F11" s="648"/>
      <c r="G11" s="648"/>
      <c r="H11" s="648"/>
      <c r="I11" s="649"/>
    </row>
    <row r="12" spans="3:11" x14ac:dyDescent="0.25">
      <c r="C12" s="368" t="s">
        <v>240</v>
      </c>
      <c r="D12" s="486">
        <v>900</v>
      </c>
      <c r="E12" s="487"/>
      <c r="F12" s="359"/>
      <c r="G12" s="88"/>
      <c r="H12" s="88"/>
      <c r="I12" s="103"/>
    </row>
    <row r="13" spans="3:11" x14ac:dyDescent="0.25">
      <c r="C13" s="368" t="s">
        <v>384</v>
      </c>
      <c r="D13" s="359"/>
      <c r="E13" s="88"/>
      <c r="F13" s="88"/>
      <c r="G13" s="88"/>
      <c r="H13" s="88"/>
      <c r="I13" s="490">
        <v>0.25</v>
      </c>
      <c r="J13" s="357"/>
    </row>
    <row r="14" spans="3:11" x14ac:dyDescent="0.25">
      <c r="C14" s="368" t="s">
        <v>385</v>
      </c>
      <c r="D14" s="488">
        <v>0.15</v>
      </c>
      <c r="E14" s="359"/>
      <c r="F14" s="359"/>
      <c r="G14" s="88"/>
      <c r="H14" s="88"/>
      <c r="I14" s="103"/>
    </row>
    <row r="15" spans="3:11" x14ac:dyDescent="0.25">
      <c r="C15" s="100" t="s">
        <v>152</v>
      </c>
      <c r="D15" s="488">
        <v>0.1</v>
      </c>
      <c r="E15" s="88"/>
      <c r="F15" s="88"/>
      <c r="G15" s="88"/>
      <c r="H15" s="88"/>
      <c r="I15" s="103"/>
    </row>
    <row r="16" spans="3:11" x14ac:dyDescent="0.25">
      <c r="C16" s="100" t="s">
        <v>19</v>
      </c>
      <c r="D16" s="88">
        <v>1</v>
      </c>
      <c r="E16" s="88"/>
      <c r="F16" s="88"/>
      <c r="G16" s="88"/>
      <c r="H16" s="88"/>
      <c r="I16" s="103"/>
    </row>
    <row r="17" spans="2:9" ht="16.2" x14ac:dyDescent="0.35">
      <c r="C17" s="8" t="s">
        <v>402</v>
      </c>
      <c r="D17" s="253">
        <v>0.03</v>
      </c>
      <c r="E17" s="254"/>
      <c r="F17" s="88"/>
      <c r="G17" s="88"/>
      <c r="H17" s="88"/>
      <c r="I17" s="103"/>
    </row>
    <row r="18" spans="2:9" ht="16.2" x14ac:dyDescent="0.35">
      <c r="C18" s="8" t="s">
        <v>403</v>
      </c>
      <c r="D18" s="253">
        <v>0.09</v>
      </c>
      <c r="E18" s="242"/>
      <c r="F18" s="88"/>
      <c r="G18" s="88"/>
      <c r="H18" s="88"/>
      <c r="I18" s="103"/>
    </row>
    <row r="19" spans="2:9" x14ac:dyDescent="0.25">
      <c r="C19" s="8" t="s">
        <v>365</v>
      </c>
      <c r="D19" s="489">
        <v>300</v>
      </c>
      <c r="E19" s="254"/>
      <c r="F19" s="88"/>
      <c r="G19" s="88"/>
      <c r="H19" s="88"/>
      <c r="I19" s="103"/>
    </row>
    <row r="20" spans="2:9" x14ac:dyDescent="0.25">
      <c r="C20" s="100" t="s">
        <v>174</v>
      </c>
      <c r="D20" s="253">
        <v>0.66666666666666663</v>
      </c>
      <c r="E20" s="88"/>
      <c r="F20" s="88"/>
      <c r="G20" s="88"/>
      <c r="H20" s="88"/>
      <c r="I20" s="103"/>
    </row>
    <row r="21" spans="2:9" ht="16.2" x14ac:dyDescent="0.35">
      <c r="C21" s="8" t="s">
        <v>443</v>
      </c>
      <c r="D21" s="88">
        <v>1.75</v>
      </c>
      <c r="E21" s="88"/>
      <c r="F21" s="88"/>
      <c r="G21" s="88"/>
      <c r="H21" s="88"/>
      <c r="I21" s="103"/>
    </row>
    <row r="22" spans="2:9" x14ac:dyDescent="0.25">
      <c r="C22" s="104"/>
      <c r="D22" s="105"/>
      <c r="E22" s="105"/>
      <c r="F22" s="105"/>
      <c r="G22" s="105"/>
      <c r="H22" s="105"/>
      <c r="I22" s="106"/>
    </row>
    <row r="25" spans="2:9" x14ac:dyDescent="0.25">
      <c r="B25" s="29" t="s">
        <v>30</v>
      </c>
      <c r="C25" s="70" t="s">
        <v>168</v>
      </c>
      <c r="D25" s="378" t="s">
        <v>23</v>
      </c>
      <c r="E25" s="378" t="s">
        <v>0</v>
      </c>
      <c r="F25" s="378" t="s">
        <v>1</v>
      </c>
      <c r="G25" s="378" t="s">
        <v>2</v>
      </c>
      <c r="H25" s="378" t="s">
        <v>3</v>
      </c>
      <c r="I25" s="379" t="s">
        <v>38</v>
      </c>
    </row>
    <row r="26" spans="2:9" x14ac:dyDescent="0.25">
      <c r="C26" s="55" t="s">
        <v>24</v>
      </c>
      <c r="D26" s="88"/>
      <c r="E26" s="88">
        <f>+E6</f>
        <v>2000</v>
      </c>
      <c r="F26" s="88">
        <f>+F6</f>
        <v>2300</v>
      </c>
      <c r="G26" s="88">
        <f>+G6</f>
        <v>2550</v>
      </c>
      <c r="H26" s="88">
        <f>+H6</f>
        <v>2700</v>
      </c>
      <c r="I26" s="103">
        <f>+I6</f>
        <v>2700</v>
      </c>
    </row>
    <row r="27" spans="2:9" x14ac:dyDescent="0.25">
      <c r="C27" s="55" t="s">
        <v>178</v>
      </c>
      <c r="D27" s="88"/>
      <c r="E27" s="88"/>
      <c r="F27" s="88"/>
      <c r="G27" s="88"/>
      <c r="H27" s="88"/>
      <c r="I27" s="103">
        <f>+I13*D12</f>
        <v>225</v>
      </c>
    </row>
    <row r="28" spans="2:9" x14ac:dyDescent="0.25">
      <c r="C28" s="55" t="s">
        <v>151</v>
      </c>
      <c r="D28" s="88"/>
      <c r="E28" s="88">
        <f>-E26*$E$8</f>
        <v>-800</v>
      </c>
      <c r="F28" s="88">
        <f t="shared" ref="F28:I28" si="0">-F26*$E$8</f>
        <v>-920</v>
      </c>
      <c r="G28" s="88">
        <f t="shared" si="0"/>
        <v>-1020</v>
      </c>
      <c r="H28" s="88">
        <f t="shared" si="0"/>
        <v>-1080</v>
      </c>
      <c r="I28" s="103">
        <f t="shared" si="0"/>
        <v>-1080</v>
      </c>
    </row>
    <row r="29" spans="2:9" x14ac:dyDescent="0.25">
      <c r="C29" s="55" t="s">
        <v>176</v>
      </c>
      <c r="D29" s="88"/>
      <c r="E29" s="88">
        <f>-$E$7</f>
        <v>-450</v>
      </c>
      <c r="F29" s="88">
        <f t="shared" ref="F29:I29" si="1">-$E$7</f>
        <v>-450</v>
      </c>
      <c r="G29" s="88">
        <f t="shared" si="1"/>
        <v>-450</v>
      </c>
      <c r="H29" s="88">
        <f t="shared" si="1"/>
        <v>-450</v>
      </c>
      <c r="I29" s="103">
        <f t="shared" si="1"/>
        <v>-450</v>
      </c>
    </row>
    <row r="30" spans="2:9" x14ac:dyDescent="0.25">
      <c r="C30" s="55" t="s">
        <v>177</v>
      </c>
      <c r="D30" s="88"/>
      <c r="E30" s="88">
        <f>-E26*$E$9</f>
        <v>-300</v>
      </c>
      <c r="F30" s="88">
        <f t="shared" ref="F30:I30" si="2">-F26*$E$9</f>
        <v>-345</v>
      </c>
      <c r="G30" s="88">
        <f t="shared" si="2"/>
        <v>-382.5</v>
      </c>
      <c r="H30" s="88">
        <f t="shared" si="2"/>
        <v>-405</v>
      </c>
      <c r="I30" s="103">
        <f t="shared" si="2"/>
        <v>-405</v>
      </c>
    </row>
    <row r="31" spans="2:9" x14ac:dyDescent="0.25">
      <c r="C31" s="55" t="s">
        <v>6</v>
      </c>
      <c r="D31" s="88"/>
      <c r="E31" s="88">
        <f>-$D$12*$E$10</f>
        <v>-180</v>
      </c>
      <c r="F31" s="88">
        <f t="shared" ref="F31:I31" si="3">-$D$12*$E$10</f>
        <v>-180</v>
      </c>
      <c r="G31" s="88">
        <f t="shared" si="3"/>
        <v>-180</v>
      </c>
      <c r="H31" s="88">
        <f t="shared" si="3"/>
        <v>-180</v>
      </c>
      <c r="I31" s="103">
        <f t="shared" si="3"/>
        <v>-180</v>
      </c>
    </row>
    <row r="32" spans="2:9" x14ac:dyDescent="0.25">
      <c r="C32" s="55" t="s">
        <v>153</v>
      </c>
      <c r="D32" s="88"/>
      <c r="E32" s="88">
        <f>-SUM(E26:E31)*$E$11</f>
        <v>-81</v>
      </c>
      <c r="F32" s="88">
        <f t="shared" ref="F32:I32" si="4">-SUM(F26:F31)*$E$11</f>
        <v>-121.5</v>
      </c>
      <c r="G32" s="88">
        <f t="shared" si="4"/>
        <v>-155.25</v>
      </c>
      <c r="H32" s="88">
        <f t="shared" si="4"/>
        <v>-175.5</v>
      </c>
      <c r="I32" s="103">
        <f t="shared" si="4"/>
        <v>-243</v>
      </c>
    </row>
    <row r="33" spans="2:9" x14ac:dyDescent="0.25">
      <c r="C33" s="67" t="s">
        <v>26</v>
      </c>
      <c r="D33" s="111"/>
      <c r="E33" s="111">
        <f>SUM(E26:E32)</f>
        <v>189</v>
      </c>
      <c r="F33" s="111">
        <f t="shared" ref="F33:I33" si="5">SUM(F26:F32)</f>
        <v>283.5</v>
      </c>
      <c r="G33" s="111">
        <f t="shared" si="5"/>
        <v>362.25</v>
      </c>
      <c r="H33" s="111">
        <f t="shared" si="5"/>
        <v>409.5</v>
      </c>
      <c r="I33" s="112">
        <f t="shared" si="5"/>
        <v>567</v>
      </c>
    </row>
    <row r="34" spans="2:9" x14ac:dyDescent="0.25">
      <c r="C34" s="48"/>
    </row>
    <row r="35" spans="2:9" x14ac:dyDescent="0.25">
      <c r="C35" s="70" t="s">
        <v>157</v>
      </c>
      <c r="D35" s="378" t="s">
        <v>23</v>
      </c>
      <c r="E35" s="378" t="s">
        <v>0</v>
      </c>
      <c r="F35" s="378" t="s">
        <v>1</v>
      </c>
      <c r="G35" s="378" t="s">
        <v>2</v>
      </c>
      <c r="H35" s="378" t="s">
        <v>3</v>
      </c>
      <c r="I35" s="379" t="s">
        <v>38</v>
      </c>
    </row>
    <row r="36" spans="2:9" x14ac:dyDescent="0.25">
      <c r="C36" s="55" t="s">
        <v>9</v>
      </c>
      <c r="D36" s="88"/>
      <c r="E36" s="88">
        <f>+E33</f>
        <v>189</v>
      </c>
      <c r="F36" s="88">
        <f t="shared" ref="F36:I36" si="6">+F33</f>
        <v>283.5</v>
      </c>
      <c r="G36" s="88">
        <f t="shared" si="6"/>
        <v>362.25</v>
      </c>
      <c r="H36" s="88">
        <f t="shared" si="6"/>
        <v>409.5</v>
      </c>
      <c r="I36" s="103">
        <f t="shared" si="6"/>
        <v>567</v>
      </c>
    </row>
    <row r="37" spans="2:9" x14ac:dyDescent="0.25">
      <c r="C37" s="55" t="s">
        <v>179</v>
      </c>
      <c r="D37" s="88"/>
      <c r="E37" s="88">
        <f>-E31</f>
        <v>180</v>
      </c>
      <c r="F37" s="88">
        <f t="shared" ref="F37:I37" si="7">-F31</f>
        <v>180</v>
      </c>
      <c r="G37" s="88">
        <f t="shared" si="7"/>
        <v>180</v>
      </c>
      <c r="H37" s="88">
        <f t="shared" si="7"/>
        <v>180</v>
      </c>
      <c r="I37" s="103">
        <f t="shared" si="7"/>
        <v>180</v>
      </c>
    </row>
    <row r="38" spans="2:9" x14ac:dyDescent="0.25">
      <c r="C38" s="55" t="s">
        <v>180</v>
      </c>
      <c r="D38" s="88"/>
      <c r="E38" s="88"/>
      <c r="F38" s="88"/>
      <c r="G38" s="88"/>
      <c r="H38" s="88"/>
      <c r="I38" s="103">
        <v>0</v>
      </c>
    </row>
    <row r="39" spans="2:9" x14ac:dyDescent="0.25">
      <c r="C39" s="55" t="s">
        <v>96</v>
      </c>
      <c r="D39" s="88"/>
      <c r="E39" s="88"/>
      <c r="F39" s="88"/>
      <c r="G39" s="88"/>
      <c r="H39" s="88"/>
      <c r="I39" s="103">
        <f>-SUM(D42:H42)</f>
        <v>405</v>
      </c>
    </row>
    <row r="40" spans="2:9" x14ac:dyDescent="0.25">
      <c r="C40" s="55" t="s">
        <v>27</v>
      </c>
      <c r="D40" s="88">
        <f>SUM(D41:D42)</f>
        <v>-1200</v>
      </c>
      <c r="E40" s="88">
        <f t="shared" ref="E40:H40" si="8">SUM(E41:E42)</f>
        <v>-45</v>
      </c>
      <c r="F40" s="88">
        <f t="shared" si="8"/>
        <v>-37.5</v>
      </c>
      <c r="G40" s="88">
        <f t="shared" si="8"/>
        <v>-22.5</v>
      </c>
      <c r="H40" s="88">
        <f t="shared" si="8"/>
        <v>0</v>
      </c>
      <c r="I40" s="103"/>
    </row>
    <row r="41" spans="2:9" x14ac:dyDescent="0.25">
      <c r="C41" s="55" t="s">
        <v>181</v>
      </c>
      <c r="D41" s="88">
        <f>-D12</f>
        <v>-900</v>
      </c>
      <c r="E41" s="88"/>
      <c r="F41" s="88"/>
      <c r="G41" s="88"/>
      <c r="H41" s="88"/>
      <c r="I41" s="103"/>
    </row>
    <row r="42" spans="2:9" x14ac:dyDescent="0.25">
      <c r="C42" s="55" t="s">
        <v>29</v>
      </c>
      <c r="D42" s="88">
        <f>-(E26-D26)*$D$14</f>
        <v>-300</v>
      </c>
      <c r="E42" s="88">
        <f t="shared" ref="E42:G42" si="9">-(F26-E26)*$D$14</f>
        <v>-45</v>
      </c>
      <c r="F42" s="88">
        <f t="shared" si="9"/>
        <v>-37.5</v>
      </c>
      <c r="G42" s="88">
        <f t="shared" si="9"/>
        <v>-22.5</v>
      </c>
      <c r="H42" s="88"/>
      <c r="I42" s="103"/>
    </row>
    <row r="43" spans="2:9" x14ac:dyDescent="0.25">
      <c r="C43" s="67" t="s">
        <v>98</v>
      </c>
      <c r="D43" s="111">
        <f>SUM(D36:D40)</f>
        <v>-1200</v>
      </c>
      <c r="E43" s="111">
        <f>SUM(E36:E40)</f>
        <v>324</v>
      </c>
      <c r="F43" s="111">
        <f t="shared" ref="F43:I43" si="10">SUM(F36:F40)</f>
        <v>426</v>
      </c>
      <c r="G43" s="111">
        <f t="shared" si="10"/>
        <v>519.75</v>
      </c>
      <c r="H43" s="111">
        <f t="shared" si="10"/>
        <v>589.5</v>
      </c>
      <c r="I43" s="112">
        <f t="shared" si="10"/>
        <v>1152</v>
      </c>
    </row>
    <row r="46" spans="2:9" x14ac:dyDescent="0.25">
      <c r="B46" s="29" t="s">
        <v>31</v>
      </c>
      <c r="C46" s="38"/>
      <c r="D46" s="142">
        <f>+(1/(1+D20*(1-E11)))*D21</f>
        <v>1.1931818181818183</v>
      </c>
    </row>
    <row r="47" spans="2:9" ht="16.2" x14ac:dyDescent="0.35">
      <c r="C47" s="259" t="s">
        <v>404</v>
      </c>
      <c r="D47" s="147">
        <f>+D46*(1+D16*(1-E11))</f>
        <v>2.0284090909090913</v>
      </c>
    </row>
    <row r="48" spans="2:9" x14ac:dyDescent="0.25">
      <c r="C48" s="259" t="s">
        <v>161</v>
      </c>
      <c r="D48" s="329">
        <f>1-D49</f>
        <v>0.5</v>
      </c>
    </row>
    <row r="49" spans="2:9" x14ac:dyDescent="0.25">
      <c r="C49" s="259" t="s">
        <v>164</v>
      </c>
      <c r="D49" s="329">
        <f>1/(1+D16)</f>
        <v>0.5</v>
      </c>
    </row>
    <row r="50" spans="2:9" ht="2.4" customHeight="1" x14ac:dyDescent="0.25">
      <c r="C50" s="145"/>
      <c r="D50" s="147"/>
    </row>
    <row r="51" spans="2:9" x14ac:dyDescent="0.25">
      <c r="C51" s="259" t="s">
        <v>381</v>
      </c>
      <c r="D51" s="492">
        <f>+D17+(D46*D18)+(D19/10000)</f>
        <v>0.16738636363636364</v>
      </c>
      <c r="I51" s="181"/>
    </row>
    <row r="52" spans="2:9" ht="16.2" x14ac:dyDescent="0.35">
      <c r="C52" s="259" t="s">
        <v>408</v>
      </c>
      <c r="D52" s="492">
        <f>+D17+(D47*D18)+(D19/10000)</f>
        <v>0.24255681818181821</v>
      </c>
    </row>
    <row r="53" spans="2:9" ht="16.2" x14ac:dyDescent="0.35">
      <c r="C53" s="42" t="s">
        <v>409</v>
      </c>
      <c r="D53" s="493">
        <f>+D48*D15*(1-E11)+D49*D52</f>
        <v>0.15627840909090909</v>
      </c>
    </row>
    <row r="55" spans="2:9" x14ac:dyDescent="0.25">
      <c r="B55" s="29" t="s">
        <v>32</v>
      </c>
      <c r="C55" s="219" t="s">
        <v>366</v>
      </c>
      <c r="D55" s="110">
        <f>+D43+NPV(D53,E43:I43)</f>
        <v>622.19869418270446</v>
      </c>
    </row>
  </sheetData>
  <sheetProtection algorithmName="SHA-512" hashValue="ksyby00mYoVtfjYUNP4LdQDSLyhNBDfTl5rBbfP85Aji/zQty2PYu+32YR87VRnyRmMjCf7ej/TJM5jJp7aWEQ==" saltValue="t/8eBxc2RI5gfD7H9n8cUg==" spinCount="100000" sheet="1" objects="1" scenarios="1"/>
  <mergeCells count="7">
    <mergeCell ref="C1:I1"/>
    <mergeCell ref="C3:I4"/>
    <mergeCell ref="E11:I11"/>
    <mergeCell ref="E7:I7"/>
    <mergeCell ref="E8:I8"/>
    <mergeCell ref="E9:I9"/>
    <mergeCell ref="E10:I10"/>
  </mergeCells>
  <phoneticPr fontId="1" type="noConversion"/>
  <hyperlinks>
    <hyperlink ref="C55" r:id="rId1" display="VPN@13.39%" xr:uid="{00000000-0004-0000-0D00-000000000000}"/>
  </hyperlinks>
  <pageMargins left="0.7" right="0.7" top="0.75" bottom="0.75" header="0.3" footer="0.3"/>
  <pageSetup orientation="portrait" horizontalDpi="360" verticalDpi="360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1:H44"/>
  <sheetViews>
    <sheetView topLeftCell="A25" zoomScaleNormal="100" workbookViewId="0">
      <selection activeCell="D44" sqref="D44"/>
    </sheetView>
  </sheetViews>
  <sheetFormatPr baseColWidth="10" defaultRowHeight="13.8" x14ac:dyDescent="0.25"/>
  <cols>
    <col min="1" max="1" width="14.6640625" style="179" customWidth="1"/>
    <col min="2" max="2" width="11.44140625" style="179"/>
    <col min="3" max="3" width="21.33203125" style="179" bestFit="1" customWidth="1"/>
    <col min="4" max="4" width="12.33203125" style="179" bestFit="1" customWidth="1"/>
    <col min="5" max="7" width="11.5546875" style="179" bestFit="1" customWidth="1"/>
    <col min="8" max="8" width="11.44140625" style="179"/>
    <col min="9" max="9" width="13.6640625" style="179" bestFit="1" customWidth="1"/>
    <col min="10" max="258" width="11.44140625" style="179"/>
    <col min="259" max="259" width="21.33203125" style="179" bestFit="1" customWidth="1"/>
    <col min="260" max="264" width="11.44140625" style="179"/>
    <col min="265" max="265" width="13.6640625" style="179" bestFit="1" customWidth="1"/>
    <col min="266" max="514" width="11.44140625" style="179"/>
    <col min="515" max="515" width="21.33203125" style="179" bestFit="1" customWidth="1"/>
    <col min="516" max="520" width="11.44140625" style="179"/>
    <col min="521" max="521" width="13.6640625" style="179" bestFit="1" customWidth="1"/>
    <col min="522" max="770" width="11.44140625" style="179"/>
    <col min="771" max="771" width="21.33203125" style="179" bestFit="1" customWidth="1"/>
    <col min="772" max="776" width="11.44140625" style="179"/>
    <col min="777" max="777" width="13.6640625" style="179" bestFit="1" customWidth="1"/>
    <col min="778" max="1026" width="11.44140625" style="179"/>
    <col min="1027" max="1027" width="21.33203125" style="179" bestFit="1" customWidth="1"/>
    <col min="1028" max="1032" width="11.44140625" style="179"/>
    <col min="1033" max="1033" width="13.6640625" style="179" bestFit="1" customWidth="1"/>
    <col min="1034" max="1282" width="11.44140625" style="179"/>
    <col min="1283" max="1283" width="21.33203125" style="179" bestFit="1" customWidth="1"/>
    <col min="1284" max="1288" width="11.44140625" style="179"/>
    <col min="1289" max="1289" width="13.6640625" style="179" bestFit="1" customWidth="1"/>
    <col min="1290" max="1538" width="11.44140625" style="179"/>
    <col min="1539" max="1539" width="21.33203125" style="179" bestFit="1" customWidth="1"/>
    <col min="1540" max="1544" width="11.44140625" style="179"/>
    <col min="1545" max="1545" width="13.6640625" style="179" bestFit="1" customWidth="1"/>
    <col min="1546" max="1794" width="11.44140625" style="179"/>
    <col min="1795" max="1795" width="21.33203125" style="179" bestFit="1" customWidth="1"/>
    <col min="1796" max="1800" width="11.44140625" style="179"/>
    <col min="1801" max="1801" width="13.6640625" style="179" bestFit="1" customWidth="1"/>
    <col min="1802" max="2050" width="11.44140625" style="179"/>
    <col min="2051" max="2051" width="21.33203125" style="179" bestFit="1" customWidth="1"/>
    <col min="2052" max="2056" width="11.44140625" style="179"/>
    <col min="2057" max="2057" width="13.6640625" style="179" bestFit="1" customWidth="1"/>
    <col min="2058" max="2306" width="11.44140625" style="179"/>
    <col min="2307" max="2307" width="21.33203125" style="179" bestFit="1" customWidth="1"/>
    <col min="2308" max="2312" width="11.44140625" style="179"/>
    <col min="2313" max="2313" width="13.6640625" style="179" bestFit="1" customWidth="1"/>
    <col min="2314" max="2562" width="11.44140625" style="179"/>
    <col min="2563" max="2563" width="21.33203125" style="179" bestFit="1" customWidth="1"/>
    <col min="2564" max="2568" width="11.44140625" style="179"/>
    <col min="2569" max="2569" width="13.6640625" style="179" bestFit="1" customWidth="1"/>
    <col min="2570" max="2818" width="11.44140625" style="179"/>
    <col min="2819" max="2819" width="21.33203125" style="179" bestFit="1" customWidth="1"/>
    <col min="2820" max="2824" width="11.44140625" style="179"/>
    <col min="2825" max="2825" width="13.6640625" style="179" bestFit="1" customWidth="1"/>
    <col min="2826" max="3074" width="11.44140625" style="179"/>
    <col min="3075" max="3075" width="21.33203125" style="179" bestFit="1" customWidth="1"/>
    <col min="3076" max="3080" width="11.44140625" style="179"/>
    <col min="3081" max="3081" width="13.6640625" style="179" bestFit="1" customWidth="1"/>
    <col min="3082" max="3330" width="11.44140625" style="179"/>
    <col min="3331" max="3331" width="21.33203125" style="179" bestFit="1" customWidth="1"/>
    <col min="3332" max="3336" width="11.44140625" style="179"/>
    <col min="3337" max="3337" width="13.6640625" style="179" bestFit="1" customWidth="1"/>
    <col min="3338" max="3586" width="11.44140625" style="179"/>
    <col min="3587" max="3587" width="21.33203125" style="179" bestFit="1" customWidth="1"/>
    <col min="3588" max="3592" width="11.44140625" style="179"/>
    <col min="3593" max="3593" width="13.6640625" style="179" bestFit="1" customWidth="1"/>
    <col min="3594" max="3842" width="11.44140625" style="179"/>
    <col min="3843" max="3843" width="21.33203125" style="179" bestFit="1" customWidth="1"/>
    <col min="3844" max="3848" width="11.44140625" style="179"/>
    <col min="3849" max="3849" width="13.6640625" style="179" bestFit="1" customWidth="1"/>
    <col min="3850" max="4098" width="11.44140625" style="179"/>
    <col min="4099" max="4099" width="21.33203125" style="179" bestFit="1" customWidth="1"/>
    <col min="4100" max="4104" width="11.44140625" style="179"/>
    <col min="4105" max="4105" width="13.6640625" style="179" bestFit="1" customWidth="1"/>
    <col min="4106" max="4354" width="11.44140625" style="179"/>
    <col min="4355" max="4355" width="21.33203125" style="179" bestFit="1" customWidth="1"/>
    <col min="4356" max="4360" width="11.44140625" style="179"/>
    <col min="4361" max="4361" width="13.6640625" style="179" bestFit="1" customWidth="1"/>
    <col min="4362" max="4610" width="11.44140625" style="179"/>
    <col min="4611" max="4611" width="21.33203125" style="179" bestFit="1" customWidth="1"/>
    <col min="4612" max="4616" width="11.44140625" style="179"/>
    <col min="4617" max="4617" width="13.6640625" style="179" bestFit="1" customWidth="1"/>
    <col min="4618" max="4866" width="11.44140625" style="179"/>
    <col min="4867" max="4867" width="21.33203125" style="179" bestFit="1" customWidth="1"/>
    <col min="4868" max="4872" width="11.44140625" style="179"/>
    <col min="4873" max="4873" width="13.6640625" style="179" bestFit="1" customWidth="1"/>
    <col min="4874" max="5122" width="11.44140625" style="179"/>
    <col min="5123" max="5123" width="21.33203125" style="179" bestFit="1" customWidth="1"/>
    <col min="5124" max="5128" width="11.44140625" style="179"/>
    <col min="5129" max="5129" width="13.6640625" style="179" bestFit="1" customWidth="1"/>
    <col min="5130" max="5378" width="11.44140625" style="179"/>
    <col min="5379" max="5379" width="21.33203125" style="179" bestFit="1" customWidth="1"/>
    <col min="5380" max="5384" width="11.44140625" style="179"/>
    <col min="5385" max="5385" width="13.6640625" style="179" bestFit="1" customWidth="1"/>
    <col min="5386" max="5634" width="11.44140625" style="179"/>
    <col min="5635" max="5635" width="21.33203125" style="179" bestFit="1" customWidth="1"/>
    <col min="5636" max="5640" width="11.44140625" style="179"/>
    <col min="5641" max="5641" width="13.6640625" style="179" bestFit="1" customWidth="1"/>
    <col min="5642" max="5890" width="11.44140625" style="179"/>
    <col min="5891" max="5891" width="21.33203125" style="179" bestFit="1" customWidth="1"/>
    <col min="5892" max="5896" width="11.44140625" style="179"/>
    <col min="5897" max="5897" width="13.6640625" style="179" bestFit="1" customWidth="1"/>
    <col min="5898" max="6146" width="11.44140625" style="179"/>
    <col min="6147" max="6147" width="21.33203125" style="179" bestFit="1" customWidth="1"/>
    <col min="6148" max="6152" width="11.44140625" style="179"/>
    <col min="6153" max="6153" width="13.6640625" style="179" bestFit="1" customWidth="1"/>
    <col min="6154" max="6402" width="11.44140625" style="179"/>
    <col min="6403" max="6403" width="21.33203125" style="179" bestFit="1" customWidth="1"/>
    <col min="6404" max="6408" width="11.44140625" style="179"/>
    <col min="6409" max="6409" width="13.6640625" style="179" bestFit="1" customWidth="1"/>
    <col min="6410" max="6658" width="11.44140625" style="179"/>
    <col min="6659" max="6659" width="21.33203125" style="179" bestFit="1" customWidth="1"/>
    <col min="6660" max="6664" width="11.44140625" style="179"/>
    <col min="6665" max="6665" width="13.6640625" style="179" bestFit="1" customWidth="1"/>
    <col min="6666" max="6914" width="11.44140625" style="179"/>
    <col min="6915" max="6915" width="21.33203125" style="179" bestFit="1" customWidth="1"/>
    <col min="6916" max="6920" width="11.44140625" style="179"/>
    <col min="6921" max="6921" width="13.6640625" style="179" bestFit="1" customWidth="1"/>
    <col min="6922" max="7170" width="11.44140625" style="179"/>
    <col min="7171" max="7171" width="21.33203125" style="179" bestFit="1" customWidth="1"/>
    <col min="7172" max="7176" width="11.44140625" style="179"/>
    <col min="7177" max="7177" width="13.6640625" style="179" bestFit="1" customWidth="1"/>
    <col min="7178" max="7426" width="11.44140625" style="179"/>
    <col min="7427" max="7427" width="21.33203125" style="179" bestFit="1" customWidth="1"/>
    <col min="7428" max="7432" width="11.44140625" style="179"/>
    <col min="7433" max="7433" width="13.6640625" style="179" bestFit="1" customWidth="1"/>
    <col min="7434" max="7682" width="11.44140625" style="179"/>
    <col min="7683" max="7683" width="21.33203125" style="179" bestFit="1" customWidth="1"/>
    <col min="7684" max="7688" width="11.44140625" style="179"/>
    <col min="7689" max="7689" width="13.6640625" style="179" bestFit="1" customWidth="1"/>
    <col min="7690" max="7938" width="11.44140625" style="179"/>
    <col min="7939" max="7939" width="21.33203125" style="179" bestFit="1" customWidth="1"/>
    <col min="7940" max="7944" width="11.44140625" style="179"/>
    <col min="7945" max="7945" width="13.6640625" style="179" bestFit="1" customWidth="1"/>
    <col min="7946" max="8194" width="11.44140625" style="179"/>
    <col min="8195" max="8195" width="21.33203125" style="179" bestFit="1" customWidth="1"/>
    <col min="8196" max="8200" width="11.44140625" style="179"/>
    <col min="8201" max="8201" width="13.6640625" style="179" bestFit="1" customWidth="1"/>
    <col min="8202" max="8450" width="11.44140625" style="179"/>
    <col min="8451" max="8451" width="21.33203125" style="179" bestFit="1" customWidth="1"/>
    <col min="8452" max="8456" width="11.44140625" style="179"/>
    <col min="8457" max="8457" width="13.6640625" style="179" bestFit="1" customWidth="1"/>
    <col min="8458" max="8706" width="11.44140625" style="179"/>
    <col min="8707" max="8707" width="21.33203125" style="179" bestFit="1" customWidth="1"/>
    <col min="8708" max="8712" width="11.44140625" style="179"/>
    <col min="8713" max="8713" width="13.6640625" style="179" bestFit="1" customWidth="1"/>
    <col min="8714" max="8962" width="11.44140625" style="179"/>
    <col min="8963" max="8963" width="21.33203125" style="179" bestFit="1" customWidth="1"/>
    <col min="8964" max="8968" width="11.44140625" style="179"/>
    <col min="8969" max="8969" width="13.6640625" style="179" bestFit="1" customWidth="1"/>
    <col min="8970" max="9218" width="11.44140625" style="179"/>
    <col min="9219" max="9219" width="21.33203125" style="179" bestFit="1" customWidth="1"/>
    <col min="9220" max="9224" width="11.44140625" style="179"/>
    <col min="9225" max="9225" width="13.6640625" style="179" bestFit="1" customWidth="1"/>
    <col min="9226" max="9474" width="11.44140625" style="179"/>
    <col min="9475" max="9475" width="21.33203125" style="179" bestFit="1" customWidth="1"/>
    <col min="9476" max="9480" width="11.44140625" style="179"/>
    <col min="9481" max="9481" width="13.6640625" style="179" bestFit="1" customWidth="1"/>
    <col min="9482" max="9730" width="11.44140625" style="179"/>
    <col min="9731" max="9731" width="21.33203125" style="179" bestFit="1" customWidth="1"/>
    <col min="9732" max="9736" width="11.44140625" style="179"/>
    <col min="9737" max="9737" width="13.6640625" style="179" bestFit="1" customWidth="1"/>
    <col min="9738" max="9986" width="11.44140625" style="179"/>
    <col min="9987" max="9987" width="21.33203125" style="179" bestFit="1" customWidth="1"/>
    <col min="9988" max="9992" width="11.44140625" style="179"/>
    <col min="9993" max="9993" width="13.6640625" style="179" bestFit="1" customWidth="1"/>
    <col min="9994" max="10242" width="11.44140625" style="179"/>
    <col min="10243" max="10243" width="21.33203125" style="179" bestFit="1" customWidth="1"/>
    <col min="10244" max="10248" width="11.44140625" style="179"/>
    <col min="10249" max="10249" width="13.6640625" style="179" bestFit="1" customWidth="1"/>
    <col min="10250" max="10498" width="11.44140625" style="179"/>
    <col min="10499" max="10499" width="21.33203125" style="179" bestFit="1" customWidth="1"/>
    <col min="10500" max="10504" width="11.44140625" style="179"/>
    <col min="10505" max="10505" width="13.6640625" style="179" bestFit="1" customWidth="1"/>
    <col min="10506" max="10754" width="11.44140625" style="179"/>
    <col min="10755" max="10755" width="21.33203125" style="179" bestFit="1" customWidth="1"/>
    <col min="10756" max="10760" width="11.44140625" style="179"/>
    <col min="10761" max="10761" width="13.6640625" style="179" bestFit="1" customWidth="1"/>
    <col min="10762" max="11010" width="11.44140625" style="179"/>
    <col min="11011" max="11011" width="21.33203125" style="179" bestFit="1" customWidth="1"/>
    <col min="11012" max="11016" width="11.44140625" style="179"/>
    <col min="11017" max="11017" width="13.6640625" style="179" bestFit="1" customWidth="1"/>
    <col min="11018" max="11266" width="11.44140625" style="179"/>
    <col min="11267" max="11267" width="21.33203125" style="179" bestFit="1" customWidth="1"/>
    <col min="11268" max="11272" width="11.44140625" style="179"/>
    <col min="11273" max="11273" width="13.6640625" style="179" bestFit="1" customWidth="1"/>
    <col min="11274" max="11522" width="11.44140625" style="179"/>
    <col min="11523" max="11523" width="21.33203125" style="179" bestFit="1" customWidth="1"/>
    <col min="11524" max="11528" width="11.44140625" style="179"/>
    <col min="11529" max="11529" width="13.6640625" style="179" bestFit="1" customWidth="1"/>
    <col min="11530" max="11778" width="11.44140625" style="179"/>
    <col min="11779" max="11779" width="21.33203125" style="179" bestFit="1" customWidth="1"/>
    <col min="11780" max="11784" width="11.44140625" style="179"/>
    <col min="11785" max="11785" width="13.6640625" style="179" bestFit="1" customWidth="1"/>
    <col min="11786" max="12034" width="11.44140625" style="179"/>
    <col min="12035" max="12035" width="21.33203125" style="179" bestFit="1" customWidth="1"/>
    <col min="12036" max="12040" width="11.44140625" style="179"/>
    <col min="12041" max="12041" width="13.6640625" style="179" bestFit="1" customWidth="1"/>
    <col min="12042" max="12290" width="11.44140625" style="179"/>
    <col min="12291" max="12291" width="21.33203125" style="179" bestFit="1" customWidth="1"/>
    <col min="12292" max="12296" width="11.44140625" style="179"/>
    <col min="12297" max="12297" width="13.6640625" style="179" bestFit="1" customWidth="1"/>
    <col min="12298" max="12546" width="11.44140625" style="179"/>
    <col min="12547" max="12547" width="21.33203125" style="179" bestFit="1" customWidth="1"/>
    <col min="12548" max="12552" width="11.44140625" style="179"/>
    <col min="12553" max="12553" width="13.6640625" style="179" bestFit="1" customWidth="1"/>
    <col min="12554" max="12802" width="11.44140625" style="179"/>
    <col min="12803" max="12803" width="21.33203125" style="179" bestFit="1" customWidth="1"/>
    <col min="12804" max="12808" width="11.44140625" style="179"/>
    <col min="12809" max="12809" width="13.6640625" style="179" bestFit="1" customWidth="1"/>
    <col min="12810" max="13058" width="11.44140625" style="179"/>
    <col min="13059" max="13059" width="21.33203125" style="179" bestFit="1" customWidth="1"/>
    <col min="13060" max="13064" width="11.44140625" style="179"/>
    <col min="13065" max="13065" width="13.6640625" style="179" bestFit="1" customWidth="1"/>
    <col min="13066" max="13314" width="11.44140625" style="179"/>
    <col min="13315" max="13315" width="21.33203125" style="179" bestFit="1" customWidth="1"/>
    <col min="13316" max="13320" width="11.44140625" style="179"/>
    <col min="13321" max="13321" width="13.6640625" style="179" bestFit="1" customWidth="1"/>
    <col min="13322" max="13570" width="11.44140625" style="179"/>
    <col min="13571" max="13571" width="21.33203125" style="179" bestFit="1" customWidth="1"/>
    <col min="13572" max="13576" width="11.44140625" style="179"/>
    <col min="13577" max="13577" width="13.6640625" style="179" bestFit="1" customWidth="1"/>
    <col min="13578" max="13826" width="11.44140625" style="179"/>
    <col min="13827" max="13827" width="21.33203125" style="179" bestFit="1" customWidth="1"/>
    <col min="13828" max="13832" width="11.44140625" style="179"/>
    <col min="13833" max="13833" width="13.6640625" style="179" bestFit="1" customWidth="1"/>
    <col min="13834" max="14082" width="11.44140625" style="179"/>
    <col min="14083" max="14083" width="21.33203125" style="179" bestFit="1" customWidth="1"/>
    <col min="14084" max="14088" width="11.44140625" style="179"/>
    <col min="14089" max="14089" width="13.6640625" style="179" bestFit="1" customWidth="1"/>
    <col min="14090" max="14338" width="11.44140625" style="179"/>
    <col min="14339" max="14339" width="21.33203125" style="179" bestFit="1" customWidth="1"/>
    <col min="14340" max="14344" width="11.44140625" style="179"/>
    <col min="14345" max="14345" width="13.6640625" style="179" bestFit="1" customWidth="1"/>
    <col min="14346" max="14594" width="11.44140625" style="179"/>
    <col min="14595" max="14595" width="21.33203125" style="179" bestFit="1" customWidth="1"/>
    <col min="14596" max="14600" width="11.44140625" style="179"/>
    <col min="14601" max="14601" width="13.6640625" style="179" bestFit="1" customWidth="1"/>
    <col min="14602" max="14850" width="11.44140625" style="179"/>
    <col min="14851" max="14851" width="21.33203125" style="179" bestFit="1" customWidth="1"/>
    <col min="14852" max="14856" width="11.44140625" style="179"/>
    <col min="14857" max="14857" width="13.6640625" style="179" bestFit="1" customWidth="1"/>
    <col min="14858" max="15106" width="11.44140625" style="179"/>
    <col min="15107" max="15107" width="21.33203125" style="179" bestFit="1" customWidth="1"/>
    <col min="15108" max="15112" width="11.44140625" style="179"/>
    <col min="15113" max="15113" width="13.6640625" style="179" bestFit="1" customWidth="1"/>
    <col min="15114" max="15362" width="11.44140625" style="179"/>
    <col min="15363" max="15363" width="21.33203125" style="179" bestFit="1" customWidth="1"/>
    <col min="15364" max="15368" width="11.44140625" style="179"/>
    <col min="15369" max="15369" width="13.6640625" style="179" bestFit="1" customWidth="1"/>
    <col min="15370" max="15618" width="11.44140625" style="179"/>
    <col min="15619" max="15619" width="21.33203125" style="179" bestFit="1" customWidth="1"/>
    <col min="15620" max="15624" width="11.44140625" style="179"/>
    <col min="15625" max="15625" width="13.6640625" style="179" bestFit="1" customWidth="1"/>
    <col min="15626" max="15874" width="11.44140625" style="179"/>
    <col min="15875" max="15875" width="21.33203125" style="179" bestFit="1" customWidth="1"/>
    <col min="15876" max="15880" width="11.44140625" style="179"/>
    <col min="15881" max="15881" width="13.6640625" style="179" bestFit="1" customWidth="1"/>
    <col min="15882" max="16130" width="11.44140625" style="179"/>
    <col min="16131" max="16131" width="21.33203125" style="179" bestFit="1" customWidth="1"/>
    <col min="16132" max="16136" width="11.44140625" style="179"/>
    <col min="16137" max="16137" width="13.6640625" style="179" bestFit="1" customWidth="1"/>
    <col min="16138" max="16384" width="11.44140625" style="179"/>
  </cols>
  <sheetData>
    <row r="1" spans="3:7" ht="19.95" customHeight="1" x14ac:dyDescent="0.25">
      <c r="C1" s="619" t="s">
        <v>444</v>
      </c>
      <c r="D1" s="619"/>
      <c r="E1" s="619"/>
      <c r="F1" s="619"/>
      <c r="G1" s="619"/>
    </row>
    <row r="3" spans="3:7" ht="14.4" customHeight="1" x14ac:dyDescent="0.25">
      <c r="C3" s="622" t="s">
        <v>184</v>
      </c>
      <c r="D3" s="623"/>
      <c r="E3" s="623"/>
      <c r="F3" s="623"/>
      <c r="G3" s="624"/>
    </row>
    <row r="4" spans="3:7" x14ac:dyDescent="0.25">
      <c r="C4" s="638"/>
      <c r="D4" s="639"/>
      <c r="E4" s="639"/>
      <c r="F4" s="639"/>
      <c r="G4" s="640"/>
    </row>
    <row r="5" spans="3:7" x14ac:dyDescent="0.25">
      <c r="C5" s="496"/>
      <c r="D5" s="62" t="s">
        <v>23</v>
      </c>
      <c r="E5" s="62" t="s">
        <v>0</v>
      </c>
      <c r="F5" s="62" t="s">
        <v>1</v>
      </c>
      <c r="G5" s="63" t="s">
        <v>2</v>
      </c>
    </row>
    <row r="6" spans="3:7" x14ac:dyDescent="0.25">
      <c r="C6" s="266" t="s">
        <v>246</v>
      </c>
      <c r="D6" s="183"/>
      <c r="E6" s="183">
        <v>400</v>
      </c>
      <c r="F6" s="183">
        <v>800</v>
      </c>
      <c r="G6" s="350">
        <v>900</v>
      </c>
    </row>
    <row r="7" spans="3:7" x14ac:dyDescent="0.25">
      <c r="C7" s="266" t="s">
        <v>244</v>
      </c>
      <c r="D7" s="421">
        <v>0.4</v>
      </c>
      <c r="E7" s="183"/>
      <c r="F7" s="183"/>
      <c r="G7" s="350"/>
    </row>
    <row r="8" spans="3:7" x14ac:dyDescent="0.25">
      <c r="C8" s="266" t="s">
        <v>245</v>
      </c>
      <c r="D8" s="421">
        <v>0.3</v>
      </c>
      <c r="E8" s="183"/>
      <c r="F8" s="183"/>
      <c r="G8" s="350"/>
    </row>
    <row r="9" spans="3:7" x14ac:dyDescent="0.25">
      <c r="C9" s="266" t="s">
        <v>27</v>
      </c>
      <c r="D9" s="183">
        <v>1500</v>
      </c>
      <c r="E9" s="183"/>
      <c r="F9" s="183"/>
      <c r="G9" s="350"/>
    </row>
    <row r="10" spans="3:7" x14ac:dyDescent="0.25">
      <c r="C10" s="266" t="s">
        <v>243</v>
      </c>
      <c r="D10" s="183">
        <v>600</v>
      </c>
      <c r="E10" s="183"/>
      <c r="F10" s="183"/>
      <c r="G10" s="350"/>
    </row>
    <row r="11" spans="3:7" x14ac:dyDescent="0.25">
      <c r="C11" s="266" t="s">
        <v>152</v>
      </c>
      <c r="D11" s="421">
        <v>0.1</v>
      </c>
      <c r="E11" s="183"/>
      <c r="F11" s="183"/>
      <c r="G11" s="350"/>
    </row>
    <row r="12" spans="3:7" ht="16.2" x14ac:dyDescent="0.35">
      <c r="C12" s="266" t="s">
        <v>445</v>
      </c>
      <c r="D12" s="421">
        <v>0.25</v>
      </c>
      <c r="E12" s="183"/>
      <c r="F12" s="183"/>
      <c r="G12" s="350"/>
    </row>
    <row r="13" spans="3:7" ht="16.2" x14ac:dyDescent="0.35">
      <c r="C13" s="266" t="s">
        <v>446</v>
      </c>
      <c r="D13" s="421">
        <f>+D10/(D9-D10)</f>
        <v>0.66666666666666663</v>
      </c>
      <c r="E13" s="183"/>
      <c r="F13" s="183"/>
      <c r="G13" s="350"/>
    </row>
    <row r="14" spans="3:7" x14ac:dyDescent="0.25">
      <c r="C14" s="266"/>
      <c r="D14" s="183">
        <v>1.78</v>
      </c>
      <c r="E14" s="183"/>
      <c r="F14" s="183"/>
      <c r="G14" s="350"/>
    </row>
    <row r="15" spans="3:7" ht="16.2" x14ac:dyDescent="0.35">
      <c r="C15" s="8" t="s">
        <v>402</v>
      </c>
      <c r="D15" s="494">
        <v>3.5000000000000003E-2</v>
      </c>
      <c r="E15" s="183"/>
      <c r="F15" s="183"/>
      <c r="G15" s="350"/>
    </row>
    <row r="16" spans="3:7" ht="16.2" x14ac:dyDescent="0.35">
      <c r="C16" s="8" t="s">
        <v>403</v>
      </c>
      <c r="D16" s="494">
        <v>5.5800000000000002E-2</v>
      </c>
      <c r="E16" s="183"/>
      <c r="F16" s="183"/>
      <c r="G16" s="350"/>
    </row>
    <row r="17" spans="3:8" x14ac:dyDescent="0.25">
      <c r="C17" s="8" t="s">
        <v>20</v>
      </c>
      <c r="D17" s="183">
        <v>300</v>
      </c>
      <c r="E17" s="183" t="s">
        <v>236</v>
      </c>
      <c r="F17" s="183"/>
      <c r="G17" s="350"/>
    </row>
    <row r="18" spans="3:8" x14ac:dyDescent="0.25">
      <c r="C18" s="331"/>
      <c r="D18" s="432"/>
      <c r="E18" s="432"/>
      <c r="F18" s="432"/>
      <c r="G18" s="433"/>
    </row>
    <row r="20" spans="3:8" x14ac:dyDescent="0.25">
      <c r="C20" s="498"/>
      <c r="D20" s="497">
        <f>+(1/(1+D12*(1-D7)))*D14</f>
        <v>1.5478260869565219</v>
      </c>
    </row>
    <row r="21" spans="3:8" ht="16.2" x14ac:dyDescent="0.35">
      <c r="C21" s="441" t="s">
        <v>404</v>
      </c>
      <c r="D21" s="497">
        <f>+D20*(1+D13*(1-D8))</f>
        <v>2.270144927536232</v>
      </c>
      <c r="H21" s="495"/>
    </row>
    <row r="22" spans="3:8" x14ac:dyDescent="0.25">
      <c r="C22" s="499" t="s">
        <v>381</v>
      </c>
      <c r="D22" s="439">
        <f>+D15+(D20*D16)+(D17/10000)</f>
        <v>0.15136869565217392</v>
      </c>
      <c r="H22" s="495"/>
    </row>
    <row r="24" spans="3:8" x14ac:dyDescent="0.25">
      <c r="C24" s="127"/>
      <c r="D24" s="71" t="s">
        <v>23</v>
      </c>
      <c r="E24" s="71" t="s">
        <v>0</v>
      </c>
      <c r="F24" s="71" t="s">
        <v>1</v>
      </c>
      <c r="G24" s="72" t="s">
        <v>2</v>
      </c>
    </row>
    <row r="25" spans="3:8" x14ac:dyDescent="0.25">
      <c r="C25" s="500" t="s">
        <v>98</v>
      </c>
      <c r="D25" s="501">
        <f>-D9</f>
        <v>-1500</v>
      </c>
      <c r="E25" s="501">
        <f>+E6</f>
        <v>400</v>
      </c>
      <c r="F25" s="501">
        <f>+F6</f>
        <v>800</v>
      </c>
      <c r="G25" s="502">
        <f>+G6</f>
        <v>900</v>
      </c>
    </row>
    <row r="27" spans="3:8" x14ac:dyDescent="0.25">
      <c r="C27" s="219" t="s">
        <v>309</v>
      </c>
      <c r="D27" s="309">
        <f>+D25+NPV(D22,E25:G25)</f>
        <v>40.546930799182974</v>
      </c>
    </row>
    <row r="29" spans="3:8" x14ac:dyDescent="0.25">
      <c r="C29" s="127"/>
      <c r="D29" s="71" t="s">
        <v>23</v>
      </c>
      <c r="E29" s="71" t="s">
        <v>0</v>
      </c>
      <c r="F29" s="71" t="s">
        <v>1</v>
      </c>
      <c r="G29" s="72" t="s">
        <v>2</v>
      </c>
    </row>
    <row r="30" spans="3:8" x14ac:dyDescent="0.25">
      <c r="C30" s="266" t="s">
        <v>243</v>
      </c>
      <c r="D30" s="183">
        <f>+D10</f>
        <v>600</v>
      </c>
      <c r="E30" s="183">
        <f>+D30-E31</f>
        <v>418.73111782477338</v>
      </c>
      <c r="F30" s="183">
        <f t="shared" ref="F30:G30" si="0">+E30-F31</f>
        <v>219.33534743202407</v>
      </c>
      <c r="G30" s="350">
        <f t="shared" si="0"/>
        <v>0</v>
      </c>
    </row>
    <row r="31" spans="3:8" x14ac:dyDescent="0.25">
      <c r="C31" s="266" t="s">
        <v>55</v>
      </c>
      <c r="D31" s="183"/>
      <c r="E31" s="183">
        <f>+E33-E32</f>
        <v>181.26888217522665</v>
      </c>
      <c r="F31" s="183">
        <f t="shared" ref="F31:G31" si="1">+F33-F32</f>
        <v>199.39577039274931</v>
      </c>
      <c r="G31" s="350">
        <f t="shared" si="1"/>
        <v>219.33534743202424</v>
      </c>
    </row>
    <row r="32" spans="3:8" x14ac:dyDescent="0.25">
      <c r="C32" s="266" t="s">
        <v>56</v>
      </c>
      <c r="D32" s="183"/>
      <c r="E32" s="183">
        <f>+D30*$D$11</f>
        <v>60</v>
      </c>
      <c r="F32" s="183">
        <f t="shared" ref="F32:G32" si="2">+E30*$D$11</f>
        <v>41.873111782477338</v>
      </c>
      <c r="G32" s="350">
        <f t="shared" si="2"/>
        <v>21.933534743202408</v>
      </c>
    </row>
    <row r="33" spans="3:7" x14ac:dyDescent="0.25">
      <c r="C33" s="268" t="s">
        <v>135</v>
      </c>
      <c r="D33" s="311"/>
      <c r="E33" s="311">
        <f>PMT($D$11,3,-$D$30)</f>
        <v>241.26888217522665</v>
      </c>
      <c r="F33" s="311">
        <f>PMT($D$11,3,-$D$30)</f>
        <v>241.26888217522665</v>
      </c>
      <c r="G33" s="312">
        <f>PMT($D$11,3,-$D$30)</f>
        <v>241.26888217522665</v>
      </c>
    </row>
    <row r="35" spans="3:7" x14ac:dyDescent="0.25">
      <c r="C35" s="127" t="s">
        <v>247</v>
      </c>
      <c r="D35" s="71" t="s">
        <v>23</v>
      </c>
      <c r="E35" s="71" t="s">
        <v>0</v>
      </c>
      <c r="F35" s="71" t="s">
        <v>1</v>
      </c>
      <c r="G35" s="72" t="s">
        <v>2</v>
      </c>
    </row>
    <row r="36" spans="3:7" x14ac:dyDescent="0.25">
      <c r="C36" s="266" t="s">
        <v>136</v>
      </c>
      <c r="D36" s="183"/>
      <c r="E36" s="183">
        <f>-E33</f>
        <v>-241.26888217522665</v>
      </c>
      <c r="F36" s="183">
        <f t="shared" ref="F36:G36" si="3">-F33</f>
        <v>-241.26888217522665</v>
      </c>
      <c r="G36" s="350">
        <f t="shared" si="3"/>
        <v>-241.26888217522665</v>
      </c>
    </row>
    <row r="37" spans="3:7" x14ac:dyDescent="0.25">
      <c r="C37" s="266" t="s">
        <v>137</v>
      </c>
      <c r="D37" s="183"/>
      <c r="E37" s="183">
        <f>+E32*$D$8</f>
        <v>18</v>
      </c>
      <c r="F37" s="183">
        <f t="shared" ref="F37:G37" si="4">+F32*$D$8</f>
        <v>12.561933534743201</v>
      </c>
      <c r="G37" s="350">
        <f t="shared" si="4"/>
        <v>6.580060422960722</v>
      </c>
    </row>
    <row r="38" spans="3:7" x14ac:dyDescent="0.25">
      <c r="C38" s="266" t="s">
        <v>138</v>
      </c>
      <c r="D38" s="183">
        <f>+D30</f>
        <v>600</v>
      </c>
      <c r="E38" s="183"/>
      <c r="F38" s="183"/>
      <c r="G38" s="350"/>
    </row>
    <row r="39" spans="3:7" x14ac:dyDescent="0.25">
      <c r="C39" s="268" t="s">
        <v>248</v>
      </c>
      <c r="D39" s="311">
        <f>SUM(D36:D38)</f>
        <v>600</v>
      </c>
      <c r="E39" s="311">
        <f>SUM(E36:E38)</f>
        <v>-223.26888217522665</v>
      </c>
      <c r="F39" s="311">
        <f t="shared" ref="F39:G39" si="5">SUM(F36:F38)</f>
        <v>-228.70694864048346</v>
      </c>
      <c r="G39" s="312">
        <f t="shared" si="5"/>
        <v>-234.68882175226594</v>
      </c>
    </row>
    <row r="41" spans="3:7" x14ac:dyDescent="0.25">
      <c r="C41" s="503" t="s">
        <v>249</v>
      </c>
      <c r="D41" s="449">
        <f>+D39+NPV(D11,E39:G39)</f>
        <v>31.689096402087216</v>
      </c>
    </row>
    <row r="42" spans="3:7" x14ac:dyDescent="0.25">
      <c r="C42" s="503" t="s">
        <v>250</v>
      </c>
      <c r="D42" s="433">
        <f>NPV(D11,E37:G37)</f>
        <v>31.689096402087333</v>
      </c>
    </row>
    <row r="44" spans="3:7" x14ac:dyDescent="0.25">
      <c r="C44" s="143" t="s">
        <v>122</v>
      </c>
      <c r="D44" s="309">
        <f>+D27+D41</f>
        <v>72.23602720127019</v>
      </c>
    </row>
  </sheetData>
  <sheetProtection algorithmName="SHA-512" hashValue="rVd7n5LZpIifU87erQGvthASquPL/1Ar1MDZMVjqXHGgk78pcBXA2qOqvsQd7nRHckNV7adCPZvIclV2Upv6YQ==" saltValue="RTGJwjwJvBOmxumBxcX9pQ==" spinCount="100000" sheet="1" objects="1" scenarios="1"/>
  <mergeCells count="2">
    <mergeCell ref="C1:G1"/>
    <mergeCell ref="C3:G4"/>
  </mergeCells>
  <phoneticPr fontId="1" type="noConversion"/>
  <hyperlinks>
    <hyperlink ref="C27" r:id="rId1" display="VPN@15.14%" xr:uid="{00000000-0004-0000-0E00-000000000000}"/>
  </hyperlinks>
  <pageMargins left="0.7" right="0.7" top="0.75" bottom="0.75" header="0.3" footer="0.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I63"/>
  <sheetViews>
    <sheetView topLeftCell="A13" zoomScaleNormal="100" workbookViewId="0">
      <selection activeCell="D61" sqref="D61"/>
    </sheetView>
  </sheetViews>
  <sheetFormatPr baseColWidth="10" defaultRowHeight="13.8" x14ac:dyDescent="0.25"/>
  <cols>
    <col min="1" max="1" width="21.88671875" style="179" customWidth="1"/>
    <col min="2" max="2" width="4.109375" style="53" customWidth="1"/>
    <col min="3" max="3" width="27.44140625" style="179" bestFit="1" customWidth="1"/>
    <col min="4" max="4" width="13.109375" style="179" bestFit="1" customWidth="1"/>
    <col min="5" max="6" width="12.44140625" style="179" bestFit="1" customWidth="1"/>
    <col min="7" max="8" width="13.109375" style="179" bestFit="1" customWidth="1"/>
    <col min="9" max="9" width="11.44140625" style="179"/>
    <col min="10" max="10" width="12.88671875" style="179" customWidth="1"/>
    <col min="11" max="15" width="11.6640625" style="179" bestFit="1" customWidth="1"/>
    <col min="16" max="257" width="11.44140625" style="179"/>
    <col min="258" max="258" width="3" style="179" customWidth="1"/>
    <col min="259" max="259" width="30.88671875" style="179" customWidth="1"/>
    <col min="260" max="260" width="10.6640625" style="179" customWidth="1"/>
    <col min="261" max="261" width="10.33203125" style="179" customWidth="1"/>
    <col min="262" max="262" width="10.88671875" style="179" customWidth="1"/>
    <col min="263" max="264" width="10.33203125" style="179" customWidth="1"/>
    <col min="265" max="265" width="11.44140625" style="179"/>
    <col min="266" max="266" width="12.88671875" style="179" customWidth="1"/>
    <col min="267" max="513" width="11.44140625" style="179"/>
    <col min="514" max="514" width="3" style="179" customWidth="1"/>
    <col min="515" max="515" width="30.88671875" style="179" customWidth="1"/>
    <col min="516" max="516" width="10.6640625" style="179" customWidth="1"/>
    <col min="517" max="517" width="10.33203125" style="179" customWidth="1"/>
    <col min="518" max="518" width="10.88671875" style="179" customWidth="1"/>
    <col min="519" max="520" width="10.33203125" style="179" customWidth="1"/>
    <col min="521" max="521" width="11.44140625" style="179"/>
    <col min="522" max="522" width="12.88671875" style="179" customWidth="1"/>
    <col min="523" max="769" width="11.44140625" style="179"/>
    <col min="770" max="770" width="3" style="179" customWidth="1"/>
    <col min="771" max="771" width="30.88671875" style="179" customWidth="1"/>
    <col min="772" max="772" width="10.6640625" style="179" customWidth="1"/>
    <col min="773" max="773" width="10.33203125" style="179" customWidth="1"/>
    <col min="774" max="774" width="10.88671875" style="179" customWidth="1"/>
    <col min="775" max="776" width="10.33203125" style="179" customWidth="1"/>
    <col min="777" max="777" width="11.44140625" style="179"/>
    <col min="778" max="778" width="12.88671875" style="179" customWidth="1"/>
    <col min="779" max="1025" width="11.44140625" style="179"/>
    <col min="1026" max="1026" width="3" style="179" customWidth="1"/>
    <col min="1027" max="1027" width="30.88671875" style="179" customWidth="1"/>
    <col min="1028" max="1028" width="10.6640625" style="179" customWidth="1"/>
    <col min="1029" max="1029" width="10.33203125" style="179" customWidth="1"/>
    <col min="1030" max="1030" width="10.88671875" style="179" customWidth="1"/>
    <col min="1031" max="1032" width="10.33203125" style="179" customWidth="1"/>
    <col min="1033" max="1033" width="11.44140625" style="179"/>
    <col min="1034" max="1034" width="12.88671875" style="179" customWidth="1"/>
    <col min="1035" max="1281" width="11.44140625" style="179"/>
    <col min="1282" max="1282" width="3" style="179" customWidth="1"/>
    <col min="1283" max="1283" width="30.88671875" style="179" customWidth="1"/>
    <col min="1284" max="1284" width="10.6640625" style="179" customWidth="1"/>
    <col min="1285" max="1285" width="10.33203125" style="179" customWidth="1"/>
    <col min="1286" max="1286" width="10.88671875" style="179" customWidth="1"/>
    <col min="1287" max="1288" width="10.33203125" style="179" customWidth="1"/>
    <col min="1289" max="1289" width="11.44140625" style="179"/>
    <col min="1290" max="1290" width="12.88671875" style="179" customWidth="1"/>
    <col min="1291" max="1537" width="11.44140625" style="179"/>
    <col min="1538" max="1538" width="3" style="179" customWidth="1"/>
    <col min="1539" max="1539" width="30.88671875" style="179" customWidth="1"/>
    <col min="1540" max="1540" width="10.6640625" style="179" customWidth="1"/>
    <col min="1541" max="1541" width="10.33203125" style="179" customWidth="1"/>
    <col min="1542" max="1542" width="10.88671875" style="179" customWidth="1"/>
    <col min="1543" max="1544" width="10.33203125" style="179" customWidth="1"/>
    <col min="1545" max="1545" width="11.44140625" style="179"/>
    <col min="1546" max="1546" width="12.88671875" style="179" customWidth="1"/>
    <col min="1547" max="1793" width="11.44140625" style="179"/>
    <col min="1794" max="1794" width="3" style="179" customWidth="1"/>
    <col min="1795" max="1795" width="30.88671875" style="179" customWidth="1"/>
    <col min="1796" max="1796" width="10.6640625" style="179" customWidth="1"/>
    <col min="1797" max="1797" width="10.33203125" style="179" customWidth="1"/>
    <col min="1798" max="1798" width="10.88671875" style="179" customWidth="1"/>
    <col min="1799" max="1800" width="10.33203125" style="179" customWidth="1"/>
    <col min="1801" max="1801" width="11.44140625" style="179"/>
    <col min="1802" max="1802" width="12.88671875" style="179" customWidth="1"/>
    <col min="1803" max="2049" width="11.44140625" style="179"/>
    <col min="2050" max="2050" width="3" style="179" customWidth="1"/>
    <col min="2051" max="2051" width="30.88671875" style="179" customWidth="1"/>
    <col min="2052" max="2052" width="10.6640625" style="179" customWidth="1"/>
    <col min="2053" max="2053" width="10.33203125" style="179" customWidth="1"/>
    <col min="2054" max="2054" width="10.88671875" style="179" customWidth="1"/>
    <col min="2055" max="2056" width="10.33203125" style="179" customWidth="1"/>
    <col min="2057" max="2057" width="11.44140625" style="179"/>
    <col min="2058" max="2058" width="12.88671875" style="179" customWidth="1"/>
    <col min="2059" max="2305" width="11.44140625" style="179"/>
    <col min="2306" max="2306" width="3" style="179" customWidth="1"/>
    <col min="2307" max="2307" width="30.88671875" style="179" customWidth="1"/>
    <col min="2308" max="2308" width="10.6640625" style="179" customWidth="1"/>
    <col min="2309" max="2309" width="10.33203125" style="179" customWidth="1"/>
    <col min="2310" max="2310" width="10.88671875" style="179" customWidth="1"/>
    <col min="2311" max="2312" width="10.33203125" style="179" customWidth="1"/>
    <col min="2313" max="2313" width="11.44140625" style="179"/>
    <col min="2314" max="2314" width="12.88671875" style="179" customWidth="1"/>
    <col min="2315" max="2561" width="11.44140625" style="179"/>
    <col min="2562" max="2562" width="3" style="179" customWidth="1"/>
    <col min="2563" max="2563" width="30.88671875" style="179" customWidth="1"/>
    <col min="2564" max="2564" width="10.6640625" style="179" customWidth="1"/>
    <col min="2565" max="2565" width="10.33203125" style="179" customWidth="1"/>
    <col min="2566" max="2566" width="10.88671875" style="179" customWidth="1"/>
    <col min="2567" max="2568" width="10.33203125" style="179" customWidth="1"/>
    <col min="2569" max="2569" width="11.44140625" style="179"/>
    <col min="2570" max="2570" width="12.88671875" style="179" customWidth="1"/>
    <col min="2571" max="2817" width="11.44140625" style="179"/>
    <col min="2818" max="2818" width="3" style="179" customWidth="1"/>
    <col min="2819" max="2819" width="30.88671875" style="179" customWidth="1"/>
    <col min="2820" max="2820" width="10.6640625" style="179" customWidth="1"/>
    <col min="2821" max="2821" width="10.33203125" style="179" customWidth="1"/>
    <col min="2822" max="2822" width="10.88671875" style="179" customWidth="1"/>
    <col min="2823" max="2824" width="10.33203125" style="179" customWidth="1"/>
    <col min="2825" max="2825" width="11.44140625" style="179"/>
    <col min="2826" max="2826" width="12.88671875" style="179" customWidth="1"/>
    <col min="2827" max="3073" width="11.44140625" style="179"/>
    <col min="3074" max="3074" width="3" style="179" customWidth="1"/>
    <col min="3075" max="3075" width="30.88671875" style="179" customWidth="1"/>
    <col min="3076" max="3076" width="10.6640625" style="179" customWidth="1"/>
    <col min="3077" max="3077" width="10.33203125" style="179" customWidth="1"/>
    <col min="3078" max="3078" width="10.88671875" style="179" customWidth="1"/>
    <col min="3079" max="3080" width="10.33203125" style="179" customWidth="1"/>
    <col min="3081" max="3081" width="11.44140625" style="179"/>
    <col min="3082" max="3082" width="12.88671875" style="179" customWidth="1"/>
    <col min="3083" max="3329" width="11.44140625" style="179"/>
    <col min="3330" max="3330" width="3" style="179" customWidth="1"/>
    <col min="3331" max="3331" width="30.88671875" style="179" customWidth="1"/>
    <col min="3332" max="3332" width="10.6640625" style="179" customWidth="1"/>
    <col min="3333" max="3333" width="10.33203125" style="179" customWidth="1"/>
    <col min="3334" max="3334" width="10.88671875" style="179" customWidth="1"/>
    <col min="3335" max="3336" width="10.33203125" style="179" customWidth="1"/>
    <col min="3337" max="3337" width="11.44140625" style="179"/>
    <col min="3338" max="3338" width="12.88671875" style="179" customWidth="1"/>
    <col min="3339" max="3585" width="11.44140625" style="179"/>
    <col min="3586" max="3586" width="3" style="179" customWidth="1"/>
    <col min="3587" max="3587" width="30.88671875" style="179" customWidth="1"/>
    <col min="3588" max="3588" width="10.6640625" style="179" customWidth="1"/>
    <col min="3589" max="3589" width="10.33203125" style="179" customWidth="1"/>
    <col min="3590" max="3590" width="10.88671875" style="179" customWidth="1"/>
    <col min="3591" max="3592" width="10.33203125" style="179" customWidth="1"/>
    <col min="3593" max="3593" width="11.44140625" style="179"/>
    <col min="3594" max="3594" width="12.88671875" style="179" customWidth="1"/>
    <col min="3595" max="3841" width="11.44140625" style="179"/>
    <col min="3842" max="3842" width="3" style="179" customWidth="1"/>
    <col min="3843" max="3843" width="30.88671875" style="179" customWidth="1"/>
    <col min="3844" max="3844" width="10.6640625" style="179" customWidth="1"/>
    <col min="3845" max="3845" width="10.33203125" style="179" customWidth="1"/>
    <col min="3846" max="3846" width="10.88671875" style="179" customWidth="1"/>
    <col min="3847" max="3848" width="10.33203125" style="179" customWidth="1"/>
    <col min="3849" max="3849" width="11.44140625" style="179"/>
    <col min="3850" max="3850" width="12.88671875" style="179" customWidth="1"/>
    <col min="3851" max="4097" width="11.44140625" style="179"/>
    <col min="4098" max="4098" width="3" style="179" customWidth="1"/>
    <col min="4099" max="4099" width="30.88671875" style="179" customWidth="1"/>
    <col min="4100" max="4100" width="10.6640625" style="179" customWidth="1"/>
    <col min="4101" max="4101" width="10.33203125" style="179" customWidth="1"/>
    <col min="4102" max="4102" width="10.88671875" style="179" customWidth="1"/>
    <col min="4103" max="4104" width="10.33203125" style="179" customWidth="1"/>
    <col min="4105" max="4105" width="11.44140625" style="179"/>
    <col min="4106" max="4106" width="12.88671875" style="179" customWidth="1"/>
    <col min="4107" max="4353" width="11.44140625" style="179"/>
    <col min="4354" max="4354" width="3" style="179" customWidth="1"/>
    <col min="4355" max="4355" width="30.88671875" style="179" customWidth="1"/>
    <col min="4356" max="4356" width="10.6640625" style="179" customWidth="1"/>
    <col min="4357" max="4357" width="10.33203125" style="179" customWidth="1"/>
    <col min="4358" max="4358" width="10.88671875" style="179" customWidth="1"/>
    <col min="4359" max="4360" width="10.33203125" style="179" customWidth="1"/>
    <col min="4361" max="4361" width="11.44140625" style="179"/>
    <col min="4362" max="4362" width="12.88671875" style="179" customWidth="1"/>
    <col min="4363" max="4609" width="11.44140625" style="179"/>
    <col min="4610" max="4610" width="3" style="179" customWidth="1"/>
    <col min="4611" max="4611" width="30.88671875" style="179" customWidth="1"/>
    <col min="4612" max="4612" width="10.6640625" style="179" customWidth="1"/>
    <col min="4613" max="4613" width="10.33203125" style="179" customWidth="1"/>
    <col min="4614" max="4614" width="10.88671875" style="179" customWidth="1"/>
    <col min="4615" max="4616" width="10.33203125" style="179" customWidth="1"/>
    <col min="4617" max="4617" width="11.44140625" style="179"/>
    <col min="4618" max="4618" width="12.88671875" style="179" customWidth="1"/>
    <col min="4619" max="4865" width="11.44140625" style="179"/>
    <col min="4866" max="4866" width="3" style="179" customWidth="1"/>
    <col min="4867" max="4867" width="30.88671875" style="179" customWidth="1"/>
    <col min="4868" max="4868" width="10.6640625" style="179" customWidth="1"/>
    <col min="4869" max="4869" width="10.33203125" style="179" customWidth="1"/>
    <col min="4870" max="4870" width="10.88671875" style="179" customWidth="1"/>
    <col min="4871" max="4872" width="10.33203125" style="179" customWidth="1"/>
    <col min="4873" max="4873" width="11.44140625" style="179"/>
    <col min="4874" max="4874" width="12.88671875" style="179" customWidth="1"/>
    <col min="4875" max="5121" width="11.44140625" style="179"/>
    <col min="5122" max="5122" width="3" style="179" customWidth="1"/>
    <col min="5123" max="5123" width="30.88671875" style="179" customWidth="1"/>
    <col min="5124" max="5124" width="10.6640625" style="179" customWidth="1"/>
    <col min="5125" max="5125" width="10.33203125" style="179" customWidth="1"/>
    <col min="5126" max="5126" width="10.88671875" style="179" customWidth="1"/>
    <col min="5127" max="5128" width="10.33203125" style="179" customWidth="1"/>
    <col min="5129" max="5129" width="11.44140625" style="179"/>
    <col min="5130" max="5130" width="12.88671875" style="179" customWidth="1"/>
    <col min="5131" max="5377" width="11.44140625" style="179"/>
    <col min="5378" max="5378" width="3" style="179" customWidth="1"/>
    <col min="5379" max="5379" width="30.88671875" style="179" customWidth="1"/>
    <col min="5380" max="5380" width="10.6640625" style="179" customWidth="1"/>
    <col min="5381" max="5381" width="10.33203125" style="179" customWidth="1"/>
    <col min="5382" max="5382" width="10.88671875" style="179" customWidth="1"/>
    <col min="5383" max="5384" width="10.33203125" style="179" customWidth="1"/>
    <col min="5385" max="5385" width="11.44140625" style="179"/>
    <col min="5386" max="5386" width="12.88671875" style="179" customWidth="1"/>
    <col min="5387" max="5633" width="11.44140625" style="179"/>
    <col min="5634" max="5634" width="3" style="179" customWidth="1"/>
    <col min="5635" max="5635" width="30.88671875" style="179" customWidth="1"/>
    <col min="5636" max="5636" width="10.6640625" style="179" customWidth="1"/>
    <col min="5637" max="5637" width="10.33203125" style="179" customWidth="1"/>
    <col min="5638" max="5638" width="10.88671875" style="179" customWidth="1"/>
    <col min="5639" max="5640" width="10.33203125" style="179" customWidth="1"/>
    <col min="5641" max="5641" width="11.44140625" style="179"/>
    <col min="5642" max="5642" width="12.88671875" style="179" customWidth="1"/>
    <col min="5643" max="5889" width="11.44140625" style="179"/>
    <col min="5890" max="5890" width="3" style="179" customWidth="1"/>
    <col min="5891" max="5891" width="30.88671875" style="179" customWidth="1"/>
    <col min="5892" max="5892" width="10.6640625" style="179" customWidth="1"/>
    <col min="5893" max="5893" width="10.33203125" style="179" customWidth="1"/>
    <col min="5894" max="5894" width="10.88671875" style="179" customWidth="1"/>
    <col min="5895" max="5896" width="10.33203125" style="179" customWidth="1"/>
    <col min="5897" max="5897" width="11.44140625" style="179"/>
    <col min="5898" max="5898" width="12.88671875" style="179" customWidth="1"/>
    <col min="5899" max="6145" width="11.44140625" style="179"/>
    <col min="6146" max="6146" width="3" style="179" customWidth="1"/>
    <col min="6147" max="6147" width="30.88671875" style="179" customWidth="1"/>
    <col min="6148" max="6148" width="10.6640625" style="179" customWidth="1"/>
    <col min="6149" max="6149" width="10.33203125" style="179" customWidth="1"/>
    <col min="6150" max="6150" width="10.88671875" style="179" customWidth="1"/>
    <col min="6151" max="6152" width="10.33203125" style="179" customWidth="1"/>
    <col min="6153" max="6153" width="11.44140625" style="179"/>
    <col min="6154" max="6154" width="12.88671875" style="179" customWidth="1"/>
    <col min="6155" max="6401" width="11.44140625" style="179"/>
    <col min="6402" max="6402" width="3" style="179" customWidth="1"/>
    <col min="6403" max="6403" width="30.88671875" style="179" customWidth="1"/>
    <col min="6404" max="6404" width="10.6640625" style="179" customWidth="1"/>
    <col min="6405" max="6405" width="10.33203125" style="179" customWidth="1"/>
    <col min="6406" max="6406" width="10.88671875" style="179" customWidth="1"/>
    <col min="6407" max="6408" width="10.33203125" style="179" customWidth="1"/>
    <col min="6409" max="6409" width="11.44140625" style="179"/>
    <col min="6410" max="6410" width="12.88671875" style="179" customWidth="1"/>
    <col min="6411" max="6657" width="11.44140625" style="179"/>
    <col min="6658" max="6658" width="3" style="179" customWidth="1"/>
    <col min="6659" max="6659" width="30.88671875" style="179" customWidth="1"/>
    <col min="6660" max="6660" width="10.6640625" style="179" customWidth="1"/>
    <col min="6661" max="6661" width="10.33203125" style="179" customWidth="1"/>
    <col min="6662" max="6662" width="10.88671875" style="179" customWidth="1"/>
    <col min="6663" max="6664" width="10.33203125" style="179" customWidth="1"/>
    <col min="6665" max="6665" width="11.44140625" style="179"/>
    <col min="6666" max="6666" width="12.88671875" style="179" customWidth="1"/>
    <col min="6667" max="6913" width="11.44140625" style="179"/>
    <col min="6914" max="6914" width="3" style="179" customWidth="1"/>
    <col min="6915" max="6915" width="30.88671875" style="179" customWidth="1"/>
    <col min="6916" max="6916" width="10.6640625" style="179" customWidth="1"/>
    <col min="6917" max="6917" width="10.33203125" style="179" customWidth="1"/>
    <col min="6918" max="6918" width="10.88671875" style="179" customWidth="1"/>
    <col min="6919" max="6920" width="10.33203125" style="179" customWidth="1"/>
    <col min="6921" max="6921" width="11.44140625" style="179"/>
    <col min="6922" max="6922" width="12.88671875" style="179" customWidth="1"/>
    <col min="6923" max="7169" width="11.44140625" style="179"/>
    <col min="7170" max="7170" width="3" style="179" customWidth="1"/>
    <col min="7171" max="7171" width="30.88671875" style="179" customWidth="1"/>
    <col min="7172" max="7172" width="10.6640625" style="179" customWidth="1"/>
    <col min="7173" max="7173" width="10.33203125" style="179" customWidth="1"/>
    <col min="7174" max="7174" width="10.88671875" style="179" customWidth="1"/>
    <col min="7175" max="7176" width="10.33203125" style="179" customWidth="1"/>
    <col min="7177" max="7177" width="11.44140625" style="179"/>
    <col min="7178" max="7178" width="12.88671875" style="179" customWidth="1"/>
    <col min="7179" max="7425" width="11.44140625" style="179"/>
    <col min="7426" max="7426" width="3" style="179" customWidth="1"/>
    <col min="7427" max="7427" width="30.88671875" style="179" customWidth="1"/>
    <col min="7428" max="7428" width="10.6640625" style="179" customWidth="1"/>
    <col min="7429" max="7429" width="10.33203125" style="179" customWidth="1"/>
    <col min="7430" max="7430" width="10.88671875" style="179" customWidth="1"/>
    <col min="7431" max="7432" width="10.33203125" style="179" customWidth="1"/>
    <col min="7433" max="7433" width="11.44140625" style="179"/>
    <col min="7434" max="7434" width="12.88671875" style="179" customWidth="1"/>
    <col min="7435" max="7681" width="11.44140625" style="179"/>
    <col min="7682" max="7682" width="3" style="179" customWidth="1"/>
    <col min="7683" max="7683" width="30.88671875" style="179" customWidth="1"/>
    <col min="7684" max="7684" width="10.6640625" style="179" customWidth="1"/>
    <col min="7685" max="7685" width="10.33203125" style="179" customWidth="1"/>
    <col min="7686" max="7686" width="10.88671875" style="179" customWidth="1"/>
    <col min="7687" max="7688" width="10.33203125" style="179" customWidth="1"/>
    <col min="7689" max="7689" width="11.44140625" style="179"/>
    <col min="7690" max="7690" width="12.88671875" style="179" customWidth="1"/>
    <col min="7691" max="7937" width="11.44140625" style="179"/>
    <col min="7938" max="7938" width="3" style="179" customWidth="1"/>
    <col min="7939" max="7939" width="30.88671875" style="179" customWidth="1"/>
    <col min="7940" max="7940" width="10.6640625" style="179" customWidth="1"/>
    <col min="7941" max="7941" width="10.33203125" style="179" customWidth="1"/>
    <col min="7942" max="7942" width="10.88671875" style="179" customWidth="1"/>
    <col min="7943" max="7944" width="10.33203125" style="179" customWidth="1"/>
    <col min="7945" max="7945" width="11.44140625" style="179"/>
    <col min="7946" max="7946" width="12.88671875" style="179" customWidth="1"/>
    <col min="7947" max="8193" width="11.44140625" style="179"/>
    <col min="8194" max="8194" width="3" style="179" customWidth="1"/>
    <col min="8195" max="8195" width="30.88671875" style="179" customWidth="1"/>
    <col min="8196" max="8196" width="10.6640625" style="179" customWidth="1"/>
    <col min="8197" max="8197" width="10.33203125" style="179" customWidth="1"/>
    <col min="8198" max="8198" width="10.88671875" style="179" customWidth="1"/>
    <col min="8199" max="8200" width="10.33203125" style="179" customWidth="1"/>
    <col min="8201" max="8201" width="11.44140625" style="179"/>
    <col min="8202" max="8202" width="12.88671875" style="179" customWidth="1"/>
    <col min="8203" max="8449" width="11.44140625" style="179"/>
    <col min="8450" max="8450" width="3" style="179" customWidth="1"/>
    <col min="8451" max="8451" width="30.88671875" style="179" customWidth="1"/>
    <col min="8452" max="8452" width="10.6640625" style="179" customWidth="1"/>
    <col min="8453" max="8453" width="10.33203125" style="179" customWidth="1"/>
    <col min="8454" max="8454" width="10.88671875" style="179" customWidth="1"/>
    <col min="8455" max="8456" width="10.33203125" style="179" customWidth="1"/>
    <col min="8457" max="8457" width="11.44140625" style="179"/>
    <col min="8458" max="8458" width="12.88671875" style="179" customWidth="1"/>
    <col min="8459" max="8705" width="11.44140625" style="179"/>
    <col min="8706" max="8706" width="3" style="179" customWidth="1"/>
    <col min="8707" max="8707" width="30.88671875" style="179" customWidth="1"/>
    <col min="8708" max="8708" width="10.6640625" style="179" customWidth="1"/>
    <col min="8709" max="8709" width="10.33203125" style="179" customWidth="1"/>
    <col min="8710" max="8710" width="10.88671875" style="179" customWidth="1"/>
    <col min="8711" max="8712" width="10.33203125" style="179" customWidth="1"/>
    <col min="8713" max="8713" width="11.44140625" style="179"/>
    <col min="8714" max="8714" width="12.88671875" style="179" customWidth="1"/>
    <col min="8715" max="8961" width="11.44140625" style="179"/>
    <col min="8962" max="8962" width="3" style="179" customWidth="1"/>
    <col min="8963" max="8963" width="30.88671875" style="179" customWidth="1"/>
    <col min="8964" max="8964" width="10.6640625" style="179" customWidth="1"/>
    <col min="8965" max="8965" width="10.33203125" style="179" customWidth="1"/>
    <col min="8966" max="8966" width="10.88671875" style="179" customWidth="1"/>
    <col min="8967" max="8968" width="10.33203125" style="179" customWidth="1"/>
    <col min="8969" max="8969" width="11.44140625" style="179"/>
    <col min="8970" max="8970" width="12.88671875" style="179" customWidth="1"/>
    <col min="8971" max="9217" width="11.44140625" style="179"/>
    <col min="9218" max="9218" width="3" style="179" customWidth="1"/>
    <col min="9219" max="9219" width="30.88671875" style="179" customWidth="1"/>
    <col min="9220" max="9220" width="10.6640625" style="179" customWidth="1"/>
    <col min="9221" max="9221" width="10.33203125" style="179" customWidth="1"/>
    <col min="9222" max="9222" width="10.88671875" style="179" customWidth="1"/>
    <col min="9223" max="9224" width="10.33203125" style="179" customWidth="1"/>
    <col min="9225" max="9225" width="11.44140625" style="179"/>
    <col min="9226" max="9226" width="12.88671875" style="179" customWidth="1"/>
    <col min="9227" max="9473" width="11.44140625" style="179"/>
    <col min="9474" max="9474" width="3" style="179" customWidth="1"/>
    <col min="9475" max="9475" width="30.88671875" style="179" customWidth="1"/>
    <col min="9476" max="9476" width="10.6640625" style="179" customWidth="1"/>
    <col min="9477" max="9477" width="10.33203125" style="179" customWidth="1"/>
    <col min="9478" max="9478" width="10.88671875" style="179" customWidth="1"/>
    <col min="9479" max="9480" width="10.33203125" style="179" customWidth="1"/>
    <col min="9481" max="9481" width="11.44140625" style="179"/>
    <col min="9482" max="9482" width="12.88671875" style="179" customWidth="1"/>
    <col min="9483" max="9729" width="11.44140625" style="179"/>
    <col min="9730" max="9730" width="3" style="179" customWidth="1"/>
    <col min="9731" max="9731" width="30.88671875" style="179" customWidth="1"/>
    <col min="9732" max="9732" width="10.6640625" style="179" customWidth="1"/>
    <col min="9733" max="9733" width="10.33203125" style="179" customWidth="1"/>
    <col min="9734" max="9734" width="10.88671875" style="179" customWidth="1"/>
    <col min="9735" max="9736" width="10.33203125" style="179" customWidth="1"/>
    <col min="9737" max="9737" width="11.44140625" style="179"/>
    <col min="9738" max="9738" width="12.88671875" style="179" customWidth="1"/>
    <col min="9739" max="9985" width="11.44140625" style="179"/>
    <col min="9986" max="9986" width="3" style="179" customWidth="1"/>
    <col min="9987" max="9987" width="30.88671875" style="179" customWidth="1"/>
    <col min="9988" max="9988" width="10.6640625" style="179" customWidth="1"/>
    <col min="9989" max="9989" width="10.33203125" style="179" customWidth="1"/>
    <col min="9990" max="9990" width="10.88671875" style="179" customWidth="1"/>
    <col min="9991" max="9992" width="10.33203125" style="179" customWidth="1"/>
    <col min="9993" max="9993" width="11.44140625" style="179"/>
    <col min="9994" max="9994" width="12.88671875" style="179" customWidth="1"/>
    <col min="9995" max="10241" width="11.44140625" style="179"/>
    <col min="10242" max="10242" width="3" style="179" customWidth="1"/>
    <col min="10243" max="10243" width="30.88671875" style="179" customWidth="1"/>
    <col min="10244" max="10244" width="10.6640625" style="179" customWidth="1"/>
    <col min="10245" max="10245" width="10.33203125" style="179" customWidth="1"/>
    <col min="10246" max="10246" width="10.88671875" style="179" customWidth="1"/>
    <col min="10247" max="10248" width="10.33203125" style="179" customWidth="1"/>
    <col min="10249" max="10249" width="11.44140625" style="179"/>
    <col min="10250" max="10250" width="12.88671875" style="179" customWidth="1"/>
    <col min="10251" max="10497" width="11.44140625" style="179"/>
    <col min="10498" max="10498" width="3" style="179" customWidth="1"/>
    <col min="10499" max="10499" width="30.88671875" style="179" customWidth="1"/>
    <col min="10500" max="10500" width="10.6640625" style="179" customWidth="1"/>
    <col min="10501" max="10501" width="10.33203125" style="179" customWidth="1"/>
    <col min="10502" max="10502" width="10.88671875" style="179" customWidth="1"/>
    <col min="10503" max="10504" width="10.33203125" style="179" customWidth="1"/>
    <col min="10505" max="10505" width="11.44140625" style="179"/>
    <col min="10506" max="10506" width="12.88671875" style="179" customWidth="1"/>
    <col min="10507" max="10753" width="11.44140625" style="179"/>
    <col min="10754" max="10754" width="3" style="179" customWidth="1"/>
    <col min="10755" max="10755" width="30.88671875" style="179" customWidth="1"/>
    <col min="10756" max="10756" width="10.6640625" style="179" customWidth="1"/>
    <col min="10757" max="10757" width="10.33203125" style="179" customWidth="1"/>
    <col min="10758" max="10758" width="10.88671875" style="179" customWidth="1"/>
    <col min="10759" max="10760" width="10.33203125" style="179" customWidth="1"/>
    <col min="10761" max="10761" width="11.44140625" style="179"/>
    <col min="10762" max="10762" width="12.88671875" style="179" customWidth="1"/>
    <col min="10763" max="11009" width="11.44140625" style="179"/>
    <col min="11010" max="11010" width="3" style="179" customWidth="1"/>
    <col min="11011" max="11011" width="30.88671875" style="179" customWidth="1"/>
    <col min="11012" max="11012" width="10.6640625" style="179" customWidth="1"/>
    <col min="11013" max="11013" width="10.33203125" style="179" customWidth="1"/>
    <col min="11014" max="11014" width="10.88671875" style="179" customWidth="1"/>
    <col min="11015" max="11016" width="10.33203125" style="179" customWidth="1"/>
    <col min="11017" max="11017" width="11.44140625" style="179"/>
    <col min="11018" max="11018" width="12.88671875" style="179" customWidth="1"/>
    <col min="11019" max="11265" width="11.44140625" style="179"/>
    <col min="11266" max="11266" width="3" style="179" customWidth="1"/>
    <col min="11267" max="11267" width="30.88671875" style="179" customWidth="1"/>
    <col min="11268" max="11268" width="10.6640625" style="179" customWidth="1"/>
    <col min="11269" max="11269" width="10.33203125" style="179" customWidth="1"/>
    <col min="11270" max="11270" width="10.88671875" style="179" customWidth="1"/>
    <col min="11271" max="11272" width="10.33203125" style="179" customWidth="1"/>
    <col min="11273" max="11273" width="11.44140625" style="179"/>
    <col min="11274" max="11274" width="12.88671875" style="179" customWidth="1"/>
    <col min="11275" max="11521" width="11.44140625" style="179"/>
    <col min="11522" max="11522" width="3" style="179" customWidth="1"/>
    <col min="11523" max="11523" width="30.88671875" style="179" customWidth="1"/>
    <col min="11524" max="11524" width="10.6640625" style="179" customWidth="1"/>
    <col min="11525" max="11525" width="10.33203125" style="179" customWidth="1"/>
    <col min="11526" max="11526" width="10.88671875" style="179" customWidth="1"/>
    <col min="11527" max="11528" width="10.33203125" style="179" customWidth="1"/>
    <col min="11529" max="11529" width="11.44140625" style="179"/>
    <col min="11530" max="11530" width="12.88671875" style="179" customWidth="1"/>
    <col min="11531" max="11777" width="11.44140625" style="179"/>
    <col min="11778" max="11778" width="3" style="179" customWidth="1"/>
    <col min="11779" max="11779" width="30.88671875" style="179" customWidth="1"/>
    <col min="11780" max="11780" width="10.6640625" style="179" customWidth="1"/>
    <col min="11781" max="11781" width="10.33203125" style="179" customWidth="1"/>
    <col min="11782" max="11782" width="10.88671875" style="179" customWidth="1"/>
    <col min="11783" max="11784" width="10.33203125" style="179" customWidth="1"/>
    <col min="11785" max="11785" width="11.44140625" style="179"/>
    <col min="11786" max="11786" width="12.88671875" style="179" customWidth="1"/>
    <col min="11787" max="12033" width="11.44140625" style="179"/>
    <col min="12034" max="12034" width="3" style="179" customWidth="1"/>
    <col min="12035" max="12035" width="30.88671875" style="179" customWidth="1"/>
    <col min="12036" max="12036" width="10.6640625" style="179" customWidth="1"/>
    <col min="12037" max="12037" width="10.33203125" style="179" customWidth="1"/>
    <col min="12038" max="12038" width="10.88671875" style="179" customWidth="1"/>
    <col min="12039" max="12040" width="10.33203125" style="179" customWidth="1"/>
    <col min="12041" max="12041" width="11.44140625" style="179"/>
    <col min="12042" max="12042" width="12.88671875" style="179" customWidth="1"/>
    <col min="12043" max="12289" width="11.44140625" style="179"/>
    <col min="12290" max="12290" width="3" style="179" customWidth="1"/>
    <col min="12291" max="12291" width="30.88671875" style="179" customWidth="1"/>
    <col min="12292" max="12292" width="10.6640625" style="179" customWidth="1"/>
    <col min="12293" max="12293" width="10.33203125" style="179" customWidth="1"/>
    <col min="12294" max="12294" width="10.88671875" style="179" customWidth="1"/>
    <col min="12295" max="12296" width="10.33203125" style="179" customWidth="1"/>
    <col min="12297" max="12297" width="11.44140625" style="179"/>
    <col min="12298" max="12298" width="12.88671875" style="179" customWidth="1"/>
    <col min="12299" max="12545" width="11.44140625" style="179"/>
    <col min="12546" max="12546" width="3" style="179" customWidth="1"/>
    <col min="12547" max="12547" width="30.88671875" style="179" customWidth="1"/>
    <col min="12548" max="12548" width="10.6640625" style="179" customWidth="1"/>
    <col min="12549" max="12549" width="10.33203125" style="179" customWidth="1"/>
    <col min="12550" max="12550" width="10.88671875" style="179" customWidth="1"/>
    <col min="12551" max="12552" width="10.33203125" style="179" customWidth="1"/>
    <col min="12553" max="12553" width="11.44140625" style="179"/>
    <col min="12554" max="12554" width="12.88671875" style="179" customWidth="1"/>
    <col min="12555" max="12801" width="11.44140625" style="179"/>
    <col min="12802" max="12802" width="3" style="179" customWidth="1"/>
    <col min="12803" max="12803" width="30.88671875" style="179" customWidth="1"/>
    <col min="12804" max="12804" width="10.6640625" style="179" customWidth="1"/>
    <col min="12805" max="12805" width="10.33203125" style="179" customWidth="1"/>
    <col min="12806" max="12806" width="10.88671875" style="179" customWidth="1"/>
    <col min="12807" max="12808" width="10.33203125" style="179" customWidth="1"/>
    <col min="12809" max="12809" width="11.44140625" style="179"/>
    <col min="12810" max="12810" width="12.88671875" style="179" customWidth="1"/>
    <col min="12811" max="13057" width="11.44140625" style="179"/>
    <col min="13058" max="13058" width="3" style="179" customWidth="1"/>
    <col min="13059" max="13059" width="30.88671875" style="179" customWidth="1"/>
    <col min="13060" max="13060" width="10.6640625" style="179" customWidth="1"/>
    <col min="13061" max="13061" width="10.33203125" style="179" customWidth="1"/>
    <col min="13062" max="13062" width="10.88671875" style="179" customWidth="1"/>
    <col min="13063" max="13064" width="10.33203125" style="179" customWidth="1"/>
    <col min="13065" max="13065" width="11.44140625" style="179"/>
    <col min="13066" max="13066" width="12.88671875" style="179" customWidth="1"/>
    <col min="13067" max="13313" width="11.44140625" style="179"/>
    <col min="13314" max="13314" width="3" style="179" customWidth="1"/>
    <col min="13315" max="13315" width="30.88671875" style="179" customWidth="1"/>
    <col min="13316" max="13316" width="10.6640625" style="179" customWidth="1"/>
    <col min="13317" max="13317" width="10.33203125" style="179" customWidth="1"/>
    <col min="13318" max="13318" width="10.88671875" style="179" customWidth="1"/>
    <col min="13319" max="13320" width="10.33203125" style="179" customWidth="1"/>
    <col min="13321" max="13321" width="11.44140625" style="179"/>
    <col min="13322" max="13322" width="12.88671875" style="179" customWidth="1"/>
    <col min="13323" max="13569" width="11.44140625" style="179"/>
    <col min="13570" max="13570" width="3" style="179" customWidth="1"/>
    <col min="13571" max="13571" width="30.88671875" style="179" customWidth="1"/>
    <col min="13572" max="13572" width="10.6640625" style="179" customWidth="1"/>
    <col min="13573" max="13573" width="10.33203125" style="179" customWidth="1"/>
    <col min="13574" max="13574" width="10.88671875" style="179" customWidth="1"/>
    <col min="13575" max="13576" width="10.33203125" style="179" customWidth="1"/>
    <col min="13577" max="13577" width="11.44140625" style="179"/>
    <col min="13578" max="13578" width="12.88671875" style="179" customWidth="1"/>
    <col min="13579" max="13825" width="11.44140625" style="179"/>
    <col min="13826" max="13826" width="3" style="179" customWidth="1"/>
    <col min="13827" max="13827" width="30.88671875" style="179" customWidth="1"/>
    <col min="13828" max="13828" width="10.6640625" style="179" customWidth="1"/>
    <col min="13829" max="13829" width="10.33203125" style="179" customWidth="1"/>
    <col min="13830" max="13830" width="10.88671875" style="179" customWidth="1"/>
    <col min="13831" max="13832" width="10.33203125" style="179" customWidth="1"/>
    <col min="13833" max="13833" width="11.44140625" style="179"/>
    <col min="13834" max="13834" width="12.88671875" style="179" customWidth="1"/>
    <col min="13835" max="14081" width="11.44140625" style="179"/>
    <col min="14082" max="14082" width="3" style="179" customWidth="1"/>
    <col min="14083" max="14083" width="30.88671875" style="179" customWidth="1"/>
    <col min="14084" max="14084" width="10.6640625" style="179" customWidth="1"/>
    <col min="14085" max="14085" width="10.33203125" style="179" customWidth="1"/>
    <col min="14086" max="14086" width="10.88671875" style="179" customWidth="1"/>
    <col min="14087" max="14088" width="10.33203125" style="179" customWidth="1"/>
    <col min="14089" max="14089" width="11.44140625" style="179"/>
    <col min="14090" max="14090" width="12.88671875" style="179" customWidth="1"/>
    <col min="14091" max="14337" width="11.44140625" style="179"/>
    <col min="14338" max="14338" width="3" style="179" customWidth="1"/>
    <col min="14339" max="14339" width="30.88671875" style="179" customWidth="1"/>
    <col min="14340" max="14340" width="10.6640625" style="179" customWidth="1"/>
    <col min="14341" max="14341" width="10.33203125" style="179" customWidth="1"/>
    <col min="14342" max="14342" width="10.88671875" style="179" customWidth="1"/>
    <col min="14343" max="14344" width="10.33203125" style="179" customWidth="1"/>
    <col min="14345" max="14345" width="11.44140625" style="179"/>
    <col min="14346" max="14346" width="12.88671875" style="179" customWidth="1"/>
    <col min="14347" max="14593" width="11.44140625" style="179"/>
    <col min="14594" max="14594" width="3" style="179" customWidth="1"/>
    <col min="14595" max="14595" width="30.88671875" style="179" customWidth="1"/>
    <col min="14596" max="14596" width="10.6640625" style="179" customWidth="1"/>
    <col min="14597" max="14597" width="10.33203125" style="179" customWidth="1"/>
    <col min="14598" max="14598" width="10.88671875" style="179" customWidth="1"/>
    <col min="14599" max="14600" width="10.33203125" style="179" customWidth="1"/>
    <col min="14601" max="14601" width="11.44140625" style="179"/>
    <col min="14602" max="14602" width="12.88671875" style="179" customWidth="1"/>
    <col min="14603" max="14849" width="11.44140625" style="179"/>
    <col min="14850" max="14850" width="3" style="179" customWidth="1"/>
    <col min="14851" max="14851" width="30.88671875" style="179" customWidth="1"/>
    <col min="14852" max="14852" width="10.6640625" style="179" customWidth="1"/>
    <col min="14853" max="14853" width="10.33203125" style="179" customWidth="1"/>
    <col min="14854" max="14854" width="10.88671875" style="179" customWidth="1"/>
    <col min="14855" max="14856" width="10.33203125" style="179" customWidth="1"/>
    <col min="14857" max="14857" width="11.44140625" style="179"/>
    <col min="14858" max="14858" width="12.88671875" style="179" customWidth="1"/>
    <col min="14859" max="15105" width="11.44140625" style="179"/>
    <col min="15106" max="15106" width="3" style="179" customWidth="1"/>
    <col min="15107" max="15107" width="30.88671875" style="179" customWidth="1"/>
    <col min="15108" max="15108" width="10.6640625" style="179" customWidth="1"/>
    <col min="15109" max="15109" width="10.33203125" style="179" customWidth="1"/>
    <col min="15110" max="15110" width="10.88671875" style="179" customWidth="1"/>
    <col min="15111" max="15112" width="10.33203125" style="179" customWidth="1"/>
    <col min="15113" max="15113" width="11.44140625" style="179"/>
    <col min="15114" max="15114" width="12.88671875" style="179" customWidth="1"/>
    <col min="15115" max="15361" width="11.44140625" style="179"/>
    <col min="15362" max="15362" width="3" style="179" customWidth="1"/>
    <col min="15363" max="15363" width="30.88671875" style="179" customWidth="1"/>
    <col min="15364" max="15364" width="10.6640625" style="179" customWidth="1"/>
    <col min="15365" max="15365" width="10.33203125" style="179" customWidth="1"/>
    <col min="15366" max="15366" width="10.88671875" style="179" customWidth="1"/>
    <col min="15367" max="15368" width="10.33203125" style="179" customWidth="1"/>
    <col min="15369" max="15369" width="11.44140625" style="179"/>
    <col min="15370" max="15370" width="12.88671875" style="179" customWidth="1"/>
    <col min="15371" max="15617" width="11.44140625" style="179"/>
    <col min="15618" max="15618" width="3" style="179" customWidth="1"/>
    <col min="15619" max="15619" width="30.88671875" style="179" customWidth="1"/>
    <col min="15620" max="15620" width="10.6640625" style="179" customWidth="1"/>
    <col min="15621" max="15621" width="10.33203125" style="179" customWidth="1"/>
    <col min="15622" max="15622" width="10.88671875" style="179" customWidth="1"/>
    <col min="15623" max="15624" width="10.33203125" style="179" customWidth="1"/>
    <col min="15625" max="15625" width="11.44140625" style="179"/>
    <col min="15626" max="15626" width="12.88671875" style="179" customWidth="1"/>
    <col min="15627" max="15873" width="11.44140625" style="179"/>
    <col min="15874" max="15874" width="3" style="179" customWidth="1"/>
    <col min="15875" max="15875" width="30.88671875" style="179" customWidth="1"/>
    <col min="15876" max="15876" width="10.6640625" style="179" customWidth="1"/>
    <col min="15877" max="15877" width="10.33203125" style="179" customWidth="1"/>
    <col min="15878" max="15878" width="10.88671875" style="179" customWidth="1"/>
    <col min="15879" max="15880" width="10.33203125" style="179" customWidth="1"/>
    <col min="15881" max="15881" width="11.44140625" style="179"/>
    <col min="15882" max="15882" width="12.88671875" style="179" customWidth="1"/>
    <col min="15883" max="16129" width="11.44140625" style="179"/>
    <col min="16130" max="16130" width="3" style="179" customWidth="1"/>
    <col min="16131" max="16131" width="30.88671875" style="179" customWidth="1"/>
    <col min="16132" max="16132" width="10.6640625" style="179" customWidth="1"/>
    <col min="16133" max="16133" width="10.33203125" style="179" customWidth="1"/>
    <col min="16134" max="16134" width="10.88671875" style="179" customWidth="1"/>
    <col min="16135" max="16136" width="10.33203125" style="179" customWidth="1"/>
    <col min="16137" max="16137" width="11.44140625" style="179"/>
    <col min="16138" max="16138" width="12.88671875" style="179" customWidth="1"/>
    <col min="16139" max="16384" width="11.44140625" style="179"/>
  </cols>
  <sheetData>
    <row r="1" spans="3:9" x14ac:dyDescent="0.25">
      <c r="C1" s="619" t="s">
        <v>447</v>
      </c>
      <c r="D1" s="619"/>
      <c r="E1" s="619"/>
      <c r="F1" s="619"/>
      <c r="G1" s="619"/>
      <c r="H1" s="619"/>
    </row>
    <row r="2" spans="3:9" ht="14.4" thickBot="1" x14ac:dyDescent="0.3"/>
    <row r="3" spans="3:9" x14ac:dyDescent="0.25">
      <c r="C3" s="657" t="s">
        <v>184</v>
      </c>
      <c r="D3" s="658"/>
      <c r="E3" s="658"/>
      <c r="F3" s="658"/>
      <c r="G3" s="658"/>
      <c r="H3" s="659"/>
    </row>
    <row r="4" spans="3:9" x14ac:dyDescent="0.25">
      <c r="C4" s="660"/>
      <c r="D4" s="626"/>
      <c r="E4" s="626"/>
      <c r="F4" s="626"/>
      <c r="G4" s="626"/>
      <c r="H4" s="661"/>
    </row>
    <row r="5" spans="3:9" x14ac:dyDescent="0.25">
      <c r="C5" s="505"/>
      <c r="D5" s="506" t="s">
        <v>23</v>
      </c>
      <c r="E5" s="506" t="s">
        <v>0</v>
      </c>
      <c r="F5" s="506" t="s">
        <v>1</v>
      </c>
      <c r="G5" s="506" t="s">
        <v>2</v>
      </c>
      <c r="H5" s="507" t="s">
        <v>3</v>
      </c>
    </row>
    <row r="6" spans="3:9" x14ac:dyDescent="0.25">
      <c r="C6" s="418" t="s">
        <v>105</v>
      </c>
      <c r="D6" s="183"/>
      <c r="E6" s="654">
        <v>380000</v>
      </c>
      <c r="F6" s="654"/>
      <c r="G6" s="654"/>
      <c r="H6" s="655"/>
    </row>
    <row r="7" spans="3:9" x14ac:dyDescent="0.25">
      <c r="C7" s="418" t="s">
        <v>361</v>
      </c>
      <c r="D7" s="183"/>
      <c r="E7" s="620">
        <v>0.25</v>
      </c>
      <c r="F7" s="620"/>
      <c r="G7" s="620"/>
      <c r="H7" s="656"/>
    </row>
    <row r="8" spans="3:9" x14ac:dyDescent="0.25">
      <c r="C8" s="418" t="s">
        <v>175</v>
      </c>
      <c r="D8" s="183"/>
      <c r="E8" s="620">
        <v>0.35</v>
      </c>
      <c r="F8" s="620"/>
      <c r="G8" s="620"/>
      <c r="H8" s="656"/>
    </row>
    <row r="9" spans="3:9" x14ac:dyDescent="0.25">
      <c r="C9" s="418" t="s">
        <v>27</v>
      </c>
      <c r="D9" s="183">
        <v>760000</v>
      </c>
      <c r="E9" s="248"/>
      <c r="F9" s="248"/>
      <c r="G9" s="248"/>
      <c r="H9" s="504"/>
    </row>
    <row r="10" spans="3:9" x14ac:dyDescent="0.25">
      <c r="C10" s="418" t="s">
        <v>152</v>
      </c>
      <c r="D10" s="421">
        <v>0.06</v>
      </c>
      <c r="E10" s="183"/>
      <c r="F10" s="183"/>
      <c r="G10" s="183"/>
      <c r="H10" s="419"/>
    </row>
    <row r="11" spans="3:9" x14ac:dyDescent="0.25">
      <c r="C11" s="418" t="s">
        <v>251</v>
      </c>
      <c r="D11" s="183"/>
      <c r="E11" s="183">
        <v>75404</v>
      </c>
      <c r="F11" s="183">
        <v>85629</v>
      </c>
      <c r="G11" s="183">
        <v>97241</v>
      </c>
      <c r="H11" s="419">
        <v>110426</v>
      </c>
    </row>
    <row r="12" spans="3:9" x14ac:dyDescent="0.25">
      <c r="C12" s="418" t="s">
        <v>161</v>
      </c>
      <c r="D12" s="421">
        <v>0.49</v>
      </c>
      <c r="E12" s="183"/>
      <c r="F12" s="183"/>
      <c r="G12" s="183"/>
      <c r="H12" s="419"/>
    </row>
    <row r="13" spans="3:9" x14ac:dyDescent="0.25">
      <c r="C13" s="418" t="s">
        <v>19</v>
      </c>
      <c r="D13" s="421">
        <f>+D12/(1-D12)</f>
        <v>0.96078431372549011</v>
      </c>
      <c r="E13" s="183"/>
      <c r="F13" s="183"/>
      <c r="G13" s="183"/>
      <c r="H13" s="419"/>
      <c r="I13" s="495"/>
    </row>
    <row r="14" spans="3:9" x14ac:dyDescent="0.25">
      <c r="C14" s="422"/>
      <c r="D14" s="183">
        <v>1.5</v>
      </c>
      <c r="E14" s="183"/>
      <c r="F14" s="183"/>
      <c r="G14" s="183"/>
      <c r="H14" s="419"/>
    </row>
    <row r="15" spans="3:9" ht="16.2" x14ac:dyDescent="0.35">
      <c r="C15" s="364" t="s">
        <v>402</v>
      </c>
      <c r="D15" s="494">
        <v>0.04</v>
      </c>
      <c r="E15" s="183"/>
      <c r="F15" s="183"/>
      <c r="G15" s="183"/>
      <c r="H15" s="419"/>
    </row>
    <row r="16" spans="3:9" ht="16.2" x14ac:dyDescent="0.35">
      <c r="C16" s="364" t="s">
        <v>403</v>
      </c>
      <c r="D16" s="494">
        <v>8.7300000000000003E-2</v>
      </c>
      <c r="E16" s="183"/>
      <c r="F16" s="183"/>
      <c r="G16" s="183"/>
      <c r="H16" s="419"/>
    </row>
    <row r="17" spans="2:8" ht="14.4" thickBot="1" x14ac:dyDescent="0.3">
      <c r="C17" s="425"/>
      <c r="D17" s="426"/>
      <c r="E17" s="426"/>
      <c r="F17" s="426"/>
      <c r="G17" s="426"/>
      <c r="H17" s="427"/>
    </row>
    <row r="20" spans="2:8" x14ac:dyDescent="0.25">
      <c r="B20" s="53" t="s">
        <v>30</v>
      </c>
      <c r="C20" s="143" t="s">
        <v>474</v>
      </c>
      <c r="D20" s="71" t="s">
        <v>23</v>
      </c>
      <c r="E20" s="71" t="s">
        <v>0</v>
      </c>
      <c r="F20" s="71" t="s">
        <v>1</v>
      </c>
      <c r="G20" s="71" t="s">
        <v>2</v>
      </c>
      <c r="H20" s="72" t="s">
        <v>3</v>
      </c>
    </row>
    <row r="21" spans="2:8" x14ac:dyDescent="0.25">
      <c r="C21" s="266" t="s">
        <v>58</v>
      </c>
      <c r="D21" s="183">
        <f>SUM(E11:H11)</f>
        <v>368700</v>
      </c>
      <c r="E21" s="183">
        <f>+D21-E23</f>
        <v>293296</v>
      </c>
      <c r="F21" s="183">
        <f t="shared" ref="F21:H21" si="0">+E21-F23</f>
        <v>207667</v>
      </c>
      <c r="G21" s="183">
        <f t="shared" si="0"/>
        <v>110426</v>
      </c>
      <c r="H21" s="350">
        <f t="shared" si="0"/>
        <v>0</v>
      </c>
    </row>
    <row r="22" spans="2:8" x14ac:dyDescent="0.25">
      <c r="C22" s="266" t="s">
        <v>56</v>
      </c>
      <c r="D22" s="183"/>
      <c r="E22" s="183">
        <f>+D21*$D$10</f>
        <v>22122</v>
      </c>
      <c r="F22" s="183">
        <f>+E21*$D$10</f>
        <v>17597.759999999998</v>
      </c>
      <c r="G22" s="183">
        <f t="shared" ref="G22:H22" si="1">+F21*$D$10</f>
        <v>12460.02</v>
      </c>
      <c r="H22" s="350">
        <f t="shared" si="1"/>
        <v>6625.5599999999995</v>
      </c>
    </row>
    <row r="23" spans="2:8" x14ac:dyDescent="0.25">
      <c r="C23" s="266" t="s">
        <v>55</v>
      </c>
      <c r="D23" s="183"/>
      <c r="E23" s="183">
        <f>+E11</f>
        <v>75404</v>
      </c>
      <c r="F23" s="183">
        <f>+F11</f>
        <v>85629</v>
      </c>
      <c r="G23" s="183">
        <f>+G11</f>
        <v>97241</v>
      </c>
      <c r="H23" s="350">
        <f>+H11</f>
        <v>110426</v>
      </c>
    </row>
    <row r="24" spans="2:8" x14ac:dyDescent="0.25">
      <c r="C24" s="268" t="s">
        <v>135</v>
      </c>
      <c r="D24" s="311"/>
      <c r="E24" s="311">
        <f>SUM(E22:E23)</f>
        <v>97526</v>
      </c>
      <c r="F24" s="311">
        <f t="shared" ref="F24:H24" si="2">SUM(F22:F23)</f>
        <v>103226.76</v>
      </c>
      <c r="G24" s="311">
        <f t="shared" si="2"/>
        <v>109701.02</v>
      </c>
      <c r="H24" s="312">
        <f t="shared" si="2"/>
        <v>117051.56</v>
      </c>
    </row>
    <row r="27" spans="2:8" x14ac:dyDescent="0.25">
      <c r="C27" s="143" t="s">
        <v>157</v>
      </c>
      <c r="D27" s="71" t="s">
        <v>23</v>
      </c>
      <c r="E27" s="71" t="s">
        <v>0</v>
      </c>
      <c r="F27" s="71" t="s">
        <v>1</v>
      </c>
      <c r="G27" s="71" t="s">
        <v>2</v>
      </c>
      <c r="H27" s="72" t="s">
        <v>3</v>
      </c>
    </row>
    <row r="28" spans="2:8" x14ac:dyDescent="0.25">
      <c r="C28" s="100" t="s">
        <v>107</v>
      </c>
      <c r="D28" s="183"/>
      <c r="E28" s="183">
        <f>+$E$6*(1-$E$8)</f>
        <v>247000</v>
      </c>
      <c r="F28" s="183">
        <f t="shared" ref="F28:H28" si="3">+$E$6*(1-$E$8)</f>
        <v>247000</v>
      </c>
      <c r="G28" s="183">
        <f t="shared" si="3"/>
        <v>247000</v>
      </c>
      <c r="H28" s="350">
        <f t="shared" si="3"/>
        <v>247000</v>
      </c>
    </row>
    <row r="29" spans="2:8" x14ac:dyDescent="0.25">
      <c r="C29" s="100" t="s">
        <v>224</v>
      </c>
      <c r="D29" s="183"/>
      <c r="E29" s="158">
        <f>+$D$9*$E$7*$E$8</f>
        <v>66500</v>
      </c>
      <c r="F29" s="158">
        <f t="shared" ref="F29:H29" si="4">+$D$9*$E$7*$E$8</f>
        <v>66500</v>
      </c>
      <c r="G29" s="158">
        <f t="shared" si="4"/>
        <v>66500</v>
      </c>
      <c r="H29" s="340">
        <f t="shared" si="4"/>
        <v>66500</v>
      </c>
    </row>
    <row r="30" spans="2:8" x14ac:dyDescent="0.25">
      <c r="C30" s="100" t="s">
        <v>170</v>
      </c>
      <c r="D30" s="183">
        <f>-D9</f>
        <v>-760000</v>
      </c>
      <c r="E30" s="158"/>
      <c r="F30" s="158"/>
      <c r="G30" s="158"/>
      <c r="H30" s="340"/>
    </row>
    <row r="31" spans="2:8" x14ac:dyDescent="0.25">
      <c r="C31" s="292" t="s">
        <v>98</v>
      </c>
      <c r="D31" s="508">
        <f>SUM(D28:D30)</f>
        <v>-760000</v>
      </c>
      <c r="E31" s="508">
        <f>SUM(E28:E30)</f>
        <v>313500</v>
      </c>
      <c r="F31" s="508">
        <f>SUM(F28:F30)</f>
        <v>313500</v>
      </c>
      <c r="G31" s="508">
        <f>SUM(G28:G30)</f>
        <v>313500</v>
      </c>
      <c r="H31" s="509">
        <f>SUM(H28:H30)</f>
        <v>313500</v>
      </c>
    </row>
    <row r="32" spans="2:8" x14ac:dyDescent="0.25">
      <c r="C32" s="266" t="s">
        <v>136</v>
      </c>
      <c r="D32" s="183"/>
      <c r="E32" s="183">
        <f>-E24</f>
        <v>-97526</v>
      </c>
      <c r="F32" s="183">
        <f>-F24</f>
        <v>-103226.76</v>
      </c>
      <c r="G32" s="183">
        <f>-G24</f>
        <v>-109701.02</v>
      </c>
      <c r="H32" s="350">
        <f>-H24</f>
        <v>-117051.56</v>
      </c>
    </row>
    <row r="33" spans="2:8" x14ac:dyDescent="0.25">
      <c r="C33" s="266" t="s">
        <v>137</v>
      </c>
      <c r="D33" s="183"/>
      <c r="E33" s="183">
        <f>+E22*$E$8</f>
        <v>7742.7</v>
      </c>
      <c r="F33" s="183">
        <f>+F22*$E$8</f>
        <v>6159.2159999999994</v>
      </c>
      <c r="G33" s="183">
        <f>+G22*$E$8</f>
        <v>4361.0069999999996</v>
      </c>
      <c r="H33" s="350">
        <f>+H22*$E$8</f>
        <v>2318.9459999999995</v>
      </c>
    </row>
    <row r="34" spans="2:8" x14ac:dyDescent="0.25">
      <c r="C34" s="266" t="s">
        <v>158</v>
      </c>
      <c r="D34" s="183">
        <f>+D21</f>
        <v>368700</v>
      </c>
      <c r="E34" s="183"/>
      <c r="F34" s="183"/>
      <c r="G34" s="183"/>
      <c r="H34" s="350"/>
    </row>
    <row r="35" spans="2:8" x14ac:dyDescent="0.25">
      <c r="C35" s="292" t="s">
        <v>248</v>
      </c>
      <c r="D35" s="508">
        <f>SUM(D32:D34)</f>
        <v>368700</v>
      </c>
      <c r="E35" s="508">
        <f>SUM(E32:E34)</f>
        <v>-89783.3</v>
      </c>
      <c r="F35" s="508">
        <f t="shared" ref="F35:H35" si="5">SUM(F32:F34)</f>
        <v>-97067.543999999994</v>
      </c>
      <c r="G35" s="508">
        <f t="shared" si="5"/>
        <v>-105340.01300000001</v>
      </c>
      <c r="H35" s="509">
        <f t="shared" si="5"/>
        <v>-114732.614</v>
      </c>
    </row>
    <row r="36" spans="2:8" x14ac:dyDescent="0.25">
      <c r="C36" s="268" t="s">
        <v>252</v>
      </c>
      <c r="D36" s="68">
        <f>+D31+D35</f>
        <v>-391300</v>
      </c>
      <c r="E36" s="68">
        <f>+E31+E35</f>
        <v>223716.7</v>
      </c>
      <c r="F36" s="68">
        <f t="shared" ref="F36:H36" si="6">+F31+F35</f>
        <v>216432.45600000001</v>
      </c>
      <c r="G36" s="68">
        <f t="shared" si="6"/>
        <v>208159.98699999999</v>
      </c>
      <c r="H36" s="69">
        <f t="shared" si="6"/>
        <v>198767.386</v>
      </c>
    </row>
    <row r="39" spans="2:8" x14ac:dyDescent="0.25">
      <c r="C39" s="245" t="s">
        <v>167</v>
      </c>
      <c r="D39" s="246" t="s">
        <v>33</v>
      </c>
      <c r="E39" s="246" t="s">
        <v>34</v>
      </c>
      <c r="F39" s="246" t="s">
        <v>35</v>
      </c>
      <c r="G39" s="247" t="s">
        <v>21</v>
      </c>
    </row>
    <row r="40" spans="2:8" x14ac:dyDescent="0.25">
      <c r="C40" s="20"/>
      <c r="D40" s="249">
        <v>1.75</v>
      </c>
      <c r="E40" s="249">
        <v>2.4</v>
      </c>
      <c r="F40" s="249">
        <v>3.1</v>
      </c>
      <c r="G40" s="250">
        <v>2.9</v>
      </c>
    </row>
    <row r="41" spans="2:8" x14ac:dyDescent="0.25">
      <c r="C41" s="20" t="s">
        <v>19</v>
      </c>
      <c r="D41" s="249">
        <v>0.9</v>
      </c>
      <c r="E41" s="249">
        <v>1.1499999999999999</v>
      </c>
      <c r="F41" s="249">
        <v>2.1</v>
      </c>
      <c r="G41" s="250">
        <v>1.95</v>
      </c>
    </row>
    <row r="42" spans="2:8" x14ac:dyDescent="0.25">
      <c r="B42" s="179"/>
      <c r="C42" s="27" t="s">
        <v>45</v>
      </c>
      <c r="D42" s="15">
        <v>0.35</v>
      </c>
      <c r="E42" s="15">
        <v>0.35</v>
      </c>
      <c r="F42" s="15">
        <v>0.35</v>
      </c>
      <c r="G42" s="28">
        <v>0.35</v>
      </c>
    </row>
    <row r="43" spans="2:8" x14ac:dyDescent="0.25">
      <c r="C43" s="7"/>
      <c r="D43" s="175"/>
      <c r="E43" s="175"/>
      <c r="F43" s="175"/>
      <c r="G43" s="175"/>
    </row>
    <row r="44" spans="2:8" x14ac:dyDescent="0.25">
      <c r="B44" s="179"/>
      <c r="C44" s="127"/>
      <c r="D44" s="246" t="s">
        <v>33</v>
      </c>
      <c r="E44" s="246" t="s">
        <v>34</v>
      </c>
      <c r="F44" s="246" t="s">
        <v>35</v>
      </c>
      <c r="G44" s="247" t="s">
        <v>21</v>
      </c>
    </row>
    <row r="45" spans="2:8" x14ac:dyDescent="0.25">
      <c r="C45" s="27"/>
      <c r="D45" s="59">
        <f>+(1/(1+D41*(1-$D$42)))*D40</f>
        <v>1.1041009463722398</v>
      </c>
      <c r="E45" s="59">
        <f>+(1/(1+E41*(1-$D$42)))*E40</f>
        <v>1.3733905579399139</v>
      </c>
      <c r="F45" s="59">
        <f>+(1/(1+F41*(1-$D$42)))*F40</f>
        <v>1.3107822410147991</v>
      </c>
      <c r="G45" s="60">
        <f>+(1/(1+G41*(1-$D$42)))*G40</f>
        <v>1.278941565600882</v>
      </c>
    </row>
    <row r="46" spans="2:8" x14ac:dyDescent="0.25">
      <c r="B46" s="179"/>
      <c r="C46" s="7"/>
    </row>
    <row r="47" spans="2:8" x14ac:dyDescent="0.25">
      <c r="C47" s="38" t="s">
        <v>160</v>
      </c>
      <c r="D47" s="447">
        <f>AVERAGE(D45:G45)</f>
        <v>1.2668038277319587</v>
      </c>
    </row>
    <row r="48" spans="2:8" x14ac:dyDescent="0.25">
      <c r="C48" s="333"/>
      <c r="D48" s="448"/>
    </row>
    <row r="49" spans="2:4" ht="16.2" x14ac:dyDescent="0.35">
      <c r="C49" s="259" t="s">
        <v>404</v>
      </c>
      <c r="D49" s="448">
        <f>+D47*(1+D13*(1-E8))</f>
        <v>2.0579352377959368</v>
      </c>
    </row>
    <row r="50" spans="2:4" x14ac:dyDescent="0.25">
      <c r="B50" s="179"/>
      <c r="C50" s="333"/>
      <c r="D50" s="448"/>
    </row>
    <row r="51" spans="2:4" x14ac:dyDescent="0.25">
      <c r="C51" s="259" t="s">
        <v>381</v>
      </c>
      <c r="D51" s="510">
        <f>+D15+D47*D16</f>
        <v>0.15059197416100001</v>
      </c>
    </row>
    <row r="52" spans="2:4" ht="16.2" x14ac:dyDescent="0.35">
      <c r="C52" s="259" t="s">
        <v>408</v>
      </c>
      <c r="D52" s="510">
        <f>+D15+D49*D16</f>
        <v>0.21965774625958528</v>
      </c>
    </row>
    <row r="53" spans="2:4" ht="16.2" x14ac:dyDescent="0.35">
      <c r="C53" s="42" t="s">
        <v>409</v>
      </c>
      <c r="D53" s="511">
        <f>+D12*D10*(1-E8)+(1-D12)*D52</f>
        <v>0.13113545059238849</v>
      </c>
    </row>
    <row r="55" spans="2:4" x14ac:dyDescent="0.25">
      <c r="B55" s="53" t="s">
        <v>31</v>
      </c>
      <c r="C55" s="127" t="s">
        <v>310</v>
      </c>
      <c r="D55" s="309">
        <f>+D31+NPV(D53,E31:H31)</f>
        <v>170301.09203910106</v>
      </c>
    </row>
    <row r="57" spans="2:4" x14ac:dyDescent="0.25">
      <c r="B57" s="53" t="s">
        <v>32</v>
      </c>
      <c r="C57" s="127" t="s">
        <v>267</v>
      </c>
      <c r="D57" s="309">
        <f>+D36+NPV(D52,E36:H36)</f>
        <v>142176.09345691709</v>
      </c>
    </row>
    <row r="59" spans="2:4" x14ac:dyDescent="0.25">
      <c r="B59" s="53" t="s">
        <v>203</v>
      </c>
      <c r="C59" s="127" t="s">
        <v>253</v>
      </c>
      <c r="D59" s="309">
        <f>SUM(D60:D61)</f>
        <v>152249.52788584336</v>
      </c>
    </row>
    <row r="60" spans="2:4" x14ac:dyDescent="0.25">
      <c r="C60" s="127" t="s">
        <v>371</v>
      </c>
      <c r="D60" s="309">
        <f>+D31+NPV(D51,E31:H31)</f>
        <v>133965.00560767041</v>
      </c>
    </row>
    <row r="61" spans="2:4" x14ac:dyDescent="0.25">
      <c r="C61" s="513" t="s">
        <v>254</v>
      </c>
      <c r="D61" s="512">
        <f>+D35+NPV(D10,E35:H35)</f>
        <v>18284.522278172954</v>
      </c>
    </row>
    <row r="63" spans="2:4" x14ac:dyDescent="0.25">
      <c r="B63" s="53" t="s">
        <v>218</v>
      </c>
      <c r="C63" s="514" t="s">
        <v>391</v>
      </c>
      <c r="D63" s="515"/>
    </row>
  </sheetData>
  <sheetProtection algorithmName="SHA-512" hashValue="PKmuK/OAvsRVWheBqhLTs2B/4fGc27+X4HxqBaLaX8CT/Af5obutyBS7V0n47KVUF61JEj49KFIco1h7HaOanA==" saltValue="5D/0ogMoLv9UBaKVbJgUUw==" spinCount="100000" sheet="1" objects="1" scenarios="1"/>
  <mergeCells count="5">
    <mergeCell ref="E6:H6"/>
    <mergeCell ref="E7:H7"/>
    <mergeCell ref="E8:H8"/>
    <mergeCell ref="C1:H1"/>
    <mergeCell ref="C3:H4"/>
  </mergeCells>
  <phoneticPr fontId="1" type="noConversion"/>
  <pageMargins left="0.7" right="0.7" top="0.75" bottom="0.75" header="0.3" footer="0.3"/>
  <pageSetup orientation="portrait" horizontalDpi="360" verticalDpi="36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C1:V34"/>
  <sheetViews>
    <sheetView zoomScaleNormal="100" workbookViewId="0">
      <selection activeCell="I34" sqref="I34"/>
    </sheetView>
  </sheetViews>
  <sheetFormatPr baseColWidth="10" defaultColWidth="11.44140625" defaultRowHeight="13.8" x14ac:dyDescent="0.25"/>
  <cols>
    <col min="1" max="1" width="20.33203125" style="86" customWidth="1"/>
    <col min="2" max="2" width="6.44140625" style="86" customWidth="1"/>
    <col min="3" max="3" width="22.88671875" style="86" customWidth="1"/>
    <col min="4" max="4" width="16" style="86" customWidth="1"/>
    <col min="5" max="5" width="2.109375" style="86" bestFit="1" customWidth="1"/>
    <col min="6" max="6" width="16.44140625" style="86" bestFit="1" customWidth="1"/>
    <col min="7" max="7" width="2" style="86" bestFit="1" customWidth="1"/>
    <col min="8" max="8" width="17" style="86" bestFit="1" customWidth="1"/>
    <col min="9" max="16384" width="11.44140625" style="86"/>
  </cols>
  <sheetData>
    <row r="1" spans="3:22" ht="19.95" customHeight="1" x14ac:dyDescent="0.25">
      <c r="C1" s="619" t="s">
        <v>454</v>
      </c>
      <c r="D1" s="619"/>
      <c r="E1" s="46"/>
      <c r="F1" s="46"/>
      <c r="G1" s="46"/>
      <c r="H1" s="46"/>
      <c r="I1" s="46"/>
      <c r="J1" s="46"/>
      <c r="K1" s="46"/>
    </row>
    <row r="3" spans="3:22" ht="14.4" customHeight="1" x14ac:dyDescent="0.25">
      <c r="C3" s="622" t="s">
        <v>184</v>
      </c>
      <c r="D3" s="624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</row>
    <row r="4" spans="3:22" ht="14.4" thickBot="1" x14ac:dyDescent="0.3">
      <c r="C4" s="638"/>
      <c r="D4" s="640"/>
      <c r="H4" s="576"/>
      <c r="I4" s="576"/>
      <c r="J4" s="576"/>
      <c r="K4" s="576"/>
      <c r="L4" s="576"/>
      <c r="M4" s="576"/>
      <c r="N4" s="576"/>
      <c r="O4" s="576"/>
      <c r="P4" s="576"/>
      <c r="Q4" s="576"/>
      <c r="R4" s="576"/>
      <c r="S4" s="576"/>
      <c r="T4" s="576"/>
      <c r="U4" s="576"/>
      <c r="V4" s="576"/>
    </row>
    <row r="5" spans="3:22" x14ac:dyDescent="0.25">
      <c r="C5" s="100" t="s">
        <v>175</v>
      </c>
      <c r="D5" s="138">
        <v>0.35</v>
      </c>
      <c r="H5" s="576"/>
      <c r="I5" s="576"/>
      <c r="J5" s="576"/>
      <c r="K5" s="666" t="s">
        <v>475</v>
      </c>
      <c r="L5" s="667"/>
      <c r="M5" s="576"/>
      <c r="N5" s="576"/>
      <c r="O5" s="576"/>
      <c r="P5" s="576"/>
      <c r="Q5" s="576"/>
      <c r="R5" s="576"/>
      <c r="S5" s="576"/>
      <c r="T5" s="576"/>
      <c r="U5" s="576"/>
      <c r="V5" s="576"/>
    </row>
    <row r="6" spans="3:22" ht="14.4" thickBot="1" x14ac:dyDescent="0.3">
      <c r="C6" s="100" t="s">
        <v>152</v>
      </c>
      <c r="D6" s="138">
        <v>0.08</v>
      </c>
      <c r="H6" s="576"/>
      <c r="I6" s="576"/>
      <c r="J6" s="576"/>
      <c r="K6" s="662"/>
      <c r="L6" s="663"/>
      <c r="M6" s="576"/>
      <c r="N6" s="576"/>
      <c r="O6" s="576"/>
      <c r="P6" s="576"/>
      <c r="Q6" s="576"/>
      <c r="R6" s="576"/>
      <c r="S6" s="576"/>
      <c r="T6" s="576"/>
      <c r="U6" s="576"/>
      <c r="V6" s="576"/>
    </row>
    <row r="7" spans="3:22" ht="16.8" thickBot="1" x14ac:dyDescent="0.4">
      <c r="C7" s="100" t="s">
        <v>448</v>
      </c>
      <c r="D7" s="103">
        <v>0.5</v>
      </c>
      <c r="H7" s="576"/>
      <c r="I7" s="577"/>
      <c r="J7" s="577"/>
      <c r="K7" s="578"/>
      <c r="L7" s="579"/>
      <c r="M7" s="577"/>
      <c r="N7" s="577"/>
      <c r="O7" s="576"/>
      <c r="P7" s="576"/>
      <c r="Q7" s="576"/>
      <c r="R7" s="576"/>
      <c r="S7" s="576"/>
      <c r="T7" s="576"/>
      <c r="U7" s="576"/>
      <c r="V7" s="576"/>
    </row>
    <row r="8" spans="3:22" ht="17.399999999999999" thickTop="1" thickBot="1" x14ac:dyDescent="0.4">
      <c r="C8" s="100" t="s">
        <v>449</v>
      </c>
      <c r="D8" s="103">
        <v>1</v>
      </c>
      <c r="H8" s="580"/>
      <c r="I8" s="576"/>
      <c r="J8" s="576"/>
      <c r="K8" s="580"/>
      <c r="L8" s="576"/>
      <c r="M8" s="576"/>
      <c r="N8" s="581"/>
      <c r="O8" s="576"/>
      <c r="P8" s="576"/>
      <c r="Q8" s="576"/>
      <c r="R8" s="576"/>
      <c r="S8" s="576"/>
      <c r="T8" s="576"/>
      <c r="U8" s="576"/>
      <c r="V8" s="576"/>
    </row>
    <row r="9" spans="3:22" x14ac:dyDescent="0.25">
      <c r="C9" s="100"/>
      <c r="D9" s="103">
        <v>0.45</v>
      </c>
      <c r="H9" s="666" t="s">
        <v>476</v>
      </c>
      <c r="I9" s="667"/>
      <c r="J9" s="576"/>
      <c r="K9" s="666" t="s">
        <v>477</v>
      </c>
      <c r="L9" s="667"/>
      <c r="M9" s="576"/>
      <c r="N9" s="666" t="s">
        <v>478</v>
      </c>
      <c r="O9" s="667"/>
      <c r="P9" s="576"/>
      <c r="Q9" s="576"/>
      <c r="R9" s="576"/>
      <c r="S9" s="576"/>
      <c r="T9" s="576"/>
      <c r="U9" s="576"/>
      <c r="V9" s="576"/>
    </row>
    <row r="10" spans="3:22" ht="16.8" x14ac:dyDescent="0.35">
      <c r="C10" s="100" t="s">
        <v>450</v>
      </c>
      <c r="D10" s="536">
        <v>1.6899999999999998E-2</v>
      </c>
      <c r="H10" s="668">
        <v>0.114</v>
      </c>
      <c r="I10" s="669"/>
      <c r="J10" s="576"/>
      <c r="K10" s="670" t="s">
        <v>479</v>
      </c>
      <c r="L10" s="671"/>
      <c r="M10" s="576"/>
      <c r="N10" s="670" t="s">
        <v>480</v>
      </c>
      <c r="O10" s="671"/>
      <c r="P10" s="576"/>
      <c r="Q10" s="576"/>
      <c r="R10" s="576"/>
      <c r="S10" s="576"/>
      <c r="T10" s="576"/>
      <c r="U10" s="576"/>
      <c r="V10" s="576"/>
    </row>
    <row r="11" spans="3:22" ht="17.399999999999999" thickBot="1" x14ac:dyDescent="0.4">
      <c r="C11" s="100" t="s">
        <v>451</v>
      </c>
      <c r="D11" s="536">
        <v>1.21E-2</v>
      </c>
      <c r="H11" s="662" t="s">
        <v>481</v>
      </c>
      <c r="I11" s="663"/>
      <c r="J11" s="576"/>
      <c r="K11" s="664">
        <v>4.1000000000000002E-2</v>
      </c>
      <c r="L11" s="665"/>
      <c r="M11" s="576"/>
      <c r="N11" s="662" t="s">
        <v>482</v>
      </c>
      <c r="O11" s="663"/>
      <c r="P11" s="576"/>
      <c r="Q11" s="576"/>
      <c r="R11" s="576"/>
      <c r="S11" s="576"/>
      <c r="T11" s="576"/>
      <c r="U11" s="576"/>
      <c r="V11" s="576"/>
    </row>
    <row r="12" spans="3:22" ht="14.4" thickBot="1" x14ac:dyDescent="0.3">
      <c r="C12" s="104"/>
      <c r="D12" s="106"/>
      <c r="H12" s="582"/>
      <c r="I12" s="576"/>
      <c r="J12" s="576"/>
      <c r="K12" s="576"/>
      <c r="L12" s="576"/>
      <c r="M12" s="576"/>
      <c r="N12" s="576"/>
      <c r="O12" s="576"/>
      <c r="P12" s="576"/>
      <c r="Q12" s="576"/>
      <c r="R12" s="576"/>
      <c r="S12" s="576"/>
      <c r="T12" s="576"/>
      <c r="U12" s="576"/>
      <c r="V12" s="576"/>
    </row>
    <row r="13" spans="3:22" ht="9.6" customHeight="1" thickTop="1" thickBot="1" x14ac:dyDescent="0.3">
      <c r="H13" s="583"/>
      <c r="I13" s="584"/>
      <c r="J13" s="584"/>
      <c r="K13" s="584"/>
      <c r="L13" s="584"/>
      <c r="M13" s="584"/>
      <c r="N13" s="584"/>
      <c r="O13" s="584"/>
      <c r="P13" s="584"/>
      <c r="Q13" s="584"/>
      <c r="R13" s="584"/>
      <c r="S13" s="584"/>
      <c r="T13" s="584"/>
      <c r="U13" s="584"/>
      <c r="V13" s="585"/>
    </row>
    <row r="14" spans="3:22" ht="12.6" customHeight="1" x14ac:dyDescent="0.25">
      <c r="H14" s="675" t="s">
        <v>483</v>
      </c>
      <c r="I14" s="667"/>
      <c r="J14" s="576"/>
      <c r="K14" s="586"/>
      <c r="L14" s="587"/>
      <c r="M14" s="576"/>
      <c r="N14" s="666" t="s">
        <v>484</v>
      </c>
      <c r="O14" s="667"/>
      <c r="P14" s="576"/>
      <c r="Q14" s="576"/>
      <c r="R14" s="666" t="s">
        <v>485</v>
      </c>
      <c r="S14" s="674"/>
      <c r="T14" s="667"/>
      <c r="U14" s="576"/>
      <c r="V14" s="588"/>
    </row>
    <row r="15" spans="3:22" ht="15.6" x14ac:dyDescent="0.25">
      <c r="C15" s="122"/>
      <c r="D15" s="142">
        <f>+D9</f>
        <v>0.45</v>
      </c>
      <c r="H15" s="676" t="s">
        <v>486</v>
      </c>
      <c r="I15" s="671"/>
      <c r="J15" s="576"/>
      <c r="K15" s="670" t="s">
        <v>487</v>
      </c>
      <c r="L15" s="671"/>
      <c r="M15" s="576"/>
      <c r="N15" s="670" t="s">
        <v>488</v>
      </c>
      <c r="O15" s="671"/>
      <c r="P15" s="576"/>
      <c r="Q15" s="576"/>
      <c r="R15" s="670" t="s">
        <v>489</v>
      </c>
      <c r="S15" s="677"/>
      <c r="T15" s="671"/>
      <c r="U15" s="576"/>
      <c r="V15" s="588"/>
    </row>
    <row r="16" spans="3:22" ht="17.399999999999999" thickBot="1" x14ac:dyDescent="0.4">
      <c r="C16" s="145" t="s">
        <v>452</v>
      </c>
      <c r="D16" s="517">
        <f>+D10^0.5</f>
        <v>0.13</v>
      </c>
      <c r="H16" s="672">
        <v>3.85E-2</v>
      </c>
      <c r="I16" s="665"/>
      <c r="J16" s="576"/>
      <c r="K16" s="589"/>
      <c r="L16" s="590"/>
      <c r="M16" s="576"/>
      <c r="N16" s="664">
        <v>4.7899999999999998E-2</v>
      </c>
      <c r="O16" s="665"/>
      <c r="P16" s="576"/>
      <c r="Q16" s="576"/>
      <c r="R16" s="664">
        <v>2.8000000000000001E-2</v>
      </c>
      <c r="S16" s="673"/>
      <c r="T16" s="665"/>
      <c r="U16" s="576"/>
      <c r="V16" s="588"/>
    </row>
    <row r="17" spans="3:22" ht="17.399999999999999" thickBot="1" x14ac:dyDescent="0.4">
      <c r="C17" s="136" t="s">
        <v>420</v>
      </c>
      <c r="D17" s="518">
        <f>+D11^0.5</f>
        <v>0.11</v>
      </c>
      <c r="H17" s="591"/>
      <c r="I17" s="576"/>
      <c r="J17" s="576"/>
      <c r="K17" s="576"/>
      <c r="L17" s="576"/>
      <c r="M17" s="576"/>
      <c r="N17" s="576"/>
      <c r="O17" s="576"/>
      <c r="P17" s="576"/>
      <c r="Q17" s="576"/>
      <c r="R17" s="578"/>
      <c r="S17" s="577"/>
      <c r="T17" s="577"/>
      <c r="U17" s="577"/>
      <c r="V17" s="588"/>
    </row>
    <row r="18" spans="3:22" ht="15" thickTop="1" thickBot="1" x14ac:dyDescent="0.3">
      <c r="H18" s="591"/>
      <c r="I18" s="576"/>
      <c r="J18" s="576"/>
      <c r="K18" s="576"/>
      <c r="L18" s="576"/>
      <c r="M18" s="576"/>
      <c r="N18" s="576"/>
      <c r="O18" s="576"/>
      <c r="P18" s="576"/>
      <c r="Q18" s="580"/>
      <c r="R18" s="576"/>
      <c r="S18" s="576"/>
      <c r="T18" s="576"/>
      <c r="U18" s="580"/>
      <c r="V18" s="588"/>
    </row>
    <row r="19" spans="3:22" ht="16.2" x14ac:dyDescent="0.35">
      <c r="C19" s="122" t="s">
        <v>453</v>
      </c>
      <c r="D19" s="520">
        <f>+(D16/D17)*D9</f>
        <v>0.53181818181818186</v>
      </c>
      <c r="H19" s="591"/>
      <c r="I19" s="576"/>
      <c r="J19" s="576"/>
      <c r="K19" s="576"/>
      <c r="L19" s="576"/>
      <c r="M19" s="576"/>
      <c r="N19" s="576"/>
      <c r="O19" s="576"/>
      <c r="P19" s="666" t="s">
        <v>490</v>
      </c>
      <c r="Q19" s="674"/>
      <c r="R19" s="667"/>
      <c r="S19" s="576"/>
      <c r="T19" s="576"/>
      <c r="U19" s="666" t="s">
        <v>485</v>
      </c>
      <c r="V19" s="681"/>
    </row>
    <row r="20" spans="3:22" x14ac:dyDescent="0.25">
      <c r="C20" s="74"/>
      <c r="D20" s="517">
        <f>(1/((1+D8*(1-D5)))*D19)</f>
        <v>0.3223140495867769</v>
      </c>
      <c r="H20" s="591"/>
      <c r="I20" s="576"/>
      <c r="J20" s="576"/>
      <c r="K20" s="576"/>
      <c r="L20" s="576"/>
      <c r="M20" s="576"/>
      <c r="N20" s="576"/>
      <c r="O20" s="576"/>
      <c r="P20" s="668">
        <v>1.4999999999999999E-2</v>
      </c>
      <c r="Q20" s="678"/>
      <c r="R20" s="669"/>
      <c r="S20" s="576"/>
      <c r="T20" s="576"/>
      <c r="U20" s="670" t="s">
        <v>491</v>
      </c>
      <c r="V20" s="679"/>
    </row>
    <row r="21" spans="3:22" ht="16.8" thickBot="1" x14ac:dyDescent="0.4">
      <c r="C21" s="42" t="s">
        <v>404</v>
      </c>
      <c r="D21" s="518">
        <f>+D20*(1+D7*(1-D5))</f>
        <v>0.42706611570247938</v>
      </c>
      <c r="H21" s="591"/>
      <c r="I21" s="576"/>
      <c r="J21" s="576"/>
      <c r="K21" s="576"/>
      <c r="L21" s="576"/>
      <c r="M21" s="576"/>
      <c r="N21" s="576"/>
      <c r="O21" s="576"/>
      <c r="P21" s="589"/>
      <c r="Q21" s="592"/>
      <c r="R21" s="590"/>
      <c r="S21" s="576"/>
      <c r="T21" s="576"/>
      <c r="U21" s="664">
        <v>1.9E-2</v>
      </c>
      <c r="V21" s="680"/>
    </row>
    <row r="22" spans="3:22" ht="4.95" customHeight="1" thickBot="1" x14ac:dyDescent="0.3">
      <c r="C22" s="249"/>
      <c r="D22" s="204"/>
      <c r="H22" s="593"/>
      <c r="I22" s="577"/>
      <c r="J22" s="577"/>
      <c r="K22" s="577"/>
      <c r="L22" s="577"/>
      <c r="M22" s="577"/>
      <c r="N22" s="577"/>
      <c r="O22" s="577"/>
      <c r="P22" s="577"/>
      <c r="Q22" s="577"/>
      <c r="R22" s="577"/>
      <c r="S22" s="577"/>
      <c r="T22" s="577"/>
      <c r="U22" s="577"/>
      <c r="V22" s="594"/>
    </row>
    <row r="23" spans="3:22" ht="14.4" thickTop="1" x14ac:dyDescent="0.25">
      <c r="C23" s="127" t="s">
        <v>161</v>
      </c>
      <c r="D23" s="257">
        <f>1-D24</f>
        <v>0.33333333333333337</v>
      </c>
      <c r="H23" s="576"/>
      <c r="I23" s="576"/>
      <c r="J23" s="576"/>
      <c r="K23" s="576"/>
      <c r="L23" s="576"/>
      <c r="M23" s="576"/>
      <c r="N23" s="576"/>
      <c r="O23" s="576"/>
      <c r="P23" s="576"/>
      <c r="Q23" s="576"/>
      <c r="R23" s="576"/>
      <c r="S23" s="576"/>
      <c r="T23" s="576"/>
      <c r="U23" s="576"/>
      <c r="V23" s="576"/>
    </row>
    <row r="24" spans="3:22" x14ac:dyDescent="0.25">
      <c r="C24" s="513" t="s">
        <v>164</v>
      </c>
      <c r="D24" s="519">
        <f>1/(1+D7)</f>
        <v>0.66666666666666663</v>
      </c>
      <c r="H24" s="576"/>
      <c r="I24" s="576"/>
      <c r="J24" s="576"/>
      <c r="K24" s="576"/>
      <c r="L24" s="576"/>
      <c r="M24" s="576"/>
      <c r="N24" s="576"/>
      <c r="O24" s="576"/>
      <c r="P24" s="576"/>
      <c r="Q24" s="576"/>
      <c r="R24" s="576"/>
      <c r="S24" s="576"/>
      <c r="T24" s="576"/>
      <c r="U24" s="576"/>
      <c r="V24" s="576"/>
    </row>
    <row r="25" spans="3:22" x14ac:dyDescent="0.25">
      <c r="H25" s="576"/>
      <c r="I25" s="576"/>
      <c r="J25" s="576"/>
      <c r="K25" s="576"/>
      <c r="L25" s="576"/>
      <c r="M25" s="576"/>
      <c r="N25" s="576"/>
      <c r="O25" s="576"/>
      <c r="P25" s="576"/>
      <c r="Q25" s="576"/>
      <c r="R25" s="576"/>
      <c r="S25" s="576"/>
      <c r="T25" s="576"/>
      <c r="U25" s="576"/>
      <c r="V25" s="576"/>
    </row>
    <row r="26" spans="3:22" x14ac:dyDescent="0.25">
      <c r="C26" s="245" t="s">
        <v>163</v>
      </c>
      <c r="D26" s="157"/>
      <c r="H26" s="576"/>
      <c r="I26" s="576"/>
      <c r="J26" s="576"/>
      <c r="K26" s="576"/>
      <c r="L26" s="576"/>
      <c r="M26" s="576"/>
      <c r="N26" s="576"/>
      <c r="O26" s="576"/>
      <c r="P26" s="576"/>
      <c r="Q26" s="576"/>
      <c r="R26" s="576"/>
      <c r="S26" s="576"/>
      <c r="T26" s="576"/>
      <c r="U26" s="576"/>
      <c r="V26" s="576"/>
    </row>
    <row r="27" spans="3:22" ht="16.2" x14ac:dyDescent="0.35">
      <c r="C27" s="8" t="s">
        <v>402</v>
      </c>
      <c r="D27" s="195">
        <v>3.85E-2</v>
      </c>
      <c r="F27" s="516"/>
      <c r="H27" s="576"/>
      <c r="I27" s="576"/>
      <c r="J27" s="576"/>
      <c r="K27" s="576"/>
      <c r="L27" s="576"/>
      <c r="M27" s="576"/>
      <c r="N27" s="576"/>
      <c r="O27" s="576"/>
      <c r="P27" s="576"/>
      <c r="Q27" s="576"/>
      <c r="R27" s="576"/>
      <c r="S27" s="576"/>
      <c r="T27" s="576"/>
      <c r="U27" s="576"/>
      <c r="V27" s="576"/>
    </row>
    <row r="28" spans="3:22" ht="16.2" x14ac:dyDescent="0.35">
      <c r="C28" s="8" t="s">
        <v>403</v>
      </c>
      <c r="D28" s="195">
        <v>4.7899999999999998E-2</v>
      </c>
      <c r="H28" s="595" t="s">
        <v>492</v>
      </c>
      <c r="I28" s="576"/>
      <c r="J28" s="576"/>
      <c r="K28" s="576"/>
      <c r="L28" s="576"/>
      <c r="M28" s="576"/>
      <c r="N28" s="576"/>
      <c r="O28" s="576"/>
      <c r="P28" s="576"/>
      <c r="Q28" s="576"/>
      <c r="R28" s="576"/>
      <c r="S28" s="576"/>
      <c r="T28" s="576"/>
      <c r="U28" s="576"/>
      <c r="V28" s="576"/>
    </row>
    <row r="29" spans="3:22" x14ac:dyDescent="0.25">
      <c r="C29" s="14" t="s">
        <v>20</v>
      </c>
      <c r="D29" s="133">
        <v>1.9E-2</v>
      </c>
      <c r="H29" s="576"/>
      <c r="I29" s="576"/>
      <c r="J29" s="576"/>
      <c r="K29" s="576"/>
      <c r="L29" s="576"/>
      <c r="M29" s="576"/>
      <c r="N29" s="576"/>
      <c r="O29" s="576"/>
      <c r="P29" s="576"/>
      <c r="Q29" s="576"/>
      <c r="R29" s="576"/>
      <c r="S29" s="576"/>
      <c r="T29" s="576"/>
      <c r="U29" s="576"/>
      <c r="V29" s="576"/>
    </row>
    <row r="30" spans="3:22" ht="7.95" customHeight="1" x14ac:dyDescent="0.25"/>
    <row r="31" spans="3:22" ht="6.6" customHeight="1" x14ac:dyDescent="0.25"/>
    <row r="32" spans="3:22" x14ac:dyDescent="0.25">
      <c r="C32" s="83" t="s">
        <v>381</v>
      </c>
      <c r="D32" s="328">
        <f>+D27+(D20*D28)+D29</f>
        <v>7.2938842975206614E-2</v>
      </c>
    </row>
    <row r="33" spans="3:4" ht="16.2" x14ac:dyDescent="0.35">
      <c r="C33" s="596" t="s">
        <v>493</v>
      </c>
      <c r="D33" s="260">
        <f>+D27+(D21*D28)+D29</f>
        <v>7.7956466942148764E-2</v>
      </c>
    </row>
    <row r="34" spans="3:4" ht="16.2" x14ac:dyDescent="0.35">
      <c r="C34" s="597" t="s">
        <v>494</v>
      </c>
      <c r="D34" s="598">
        <f>+D23*D6*(1-D5)+D24*D33</f>
        <v>6.9304311294765844E-2</v>
      </c>
    </row>
  </sheetData>
  <sheetProtection algorithmName="SHA-512" hashValue="wEAcsmniX+5QEZk2v4L8E8T0jU1pxkgalf2Cfeo158PBNVZEQohpICp0mjUgxAdn5ex3ShUklLjbvt5EsrqE1Q==" saltValue="gatPWBqwS1mW6mztQGarJw==" spinCount="100000" sheet="1" objects="1" scenarios="1"/>
  <mergeCells count="27">
    <mergeCell ref="P20:R20"/>
    <mergeCell ref="U20:V20"/>
    <mergeCell ref="U21:V21"/>
    <mergeCell ref="K9:L9"/>
    <mergeCell ref="U19:V19"/>
    <mergeCell ref="H16:I16"/>
    <mergeCell ref="N16:O16"/>
    <mergeCell ref="R16:T16"/>
    <mergeCell ref="P19:R19"/>
    <mergeCell ref="H14:I14"/>
    <mergeCell ref="N14:O14"/>
    <mergeCell ref="R14:T14"/>
    <mergeCell ref="H15:I15"/>
    <mergeCell ref="K15:L15"/>
    <mergeCell ref="N15:O15"/>
    <mergeCell ref="R15:T15"/>
    <mergeCell ref="H11:I11"/>
    <mergeCell ref="K11:L11"/>
    <mergeCell ref="N11:O11"/>
    <mergeCell ref="C3:D4"/>
    <mergeCell ref="C1:D1"/>
    <mergeCell ref="H9:I9"/>
    <mergeCell ref="N9:O9"/>
    <mergeCell ref="H10:I10"/>
    <mergeCell ref="K10:L10"/>
    <mergeCell ref="N10:O10"/>
    <mergeCell ref="K5:L6"/>
  </mergeCells>
  <phoneticPr fontId="1" type="noConversion"/>
  <pageMargins left="0.7" right="0.7" top="0.75" bottom="0.75" header="0.3" footer="0.3"/>
  <pageSetup orientation="portrait" horizontalDpi="360" verticalDpi="36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C1:R106"/>
  <sheetViews>
    <sheetView zoomScaleNormal="100" workbookViewId="0">
      <selection activeCell="H97" sqref="H97"/>
    </sheetView>
  </sheetViews>
  <sheetFormatPr baseColWidth="10" defaultRowHeight="13.8" x14ac:dyDescent="0.25"/>
  <cols>
    <col min="1" max="1" width="15.33203125" style="521" customWidth="1"/>
    <col min="2" max="2" width="11.44140625" style="521"/>
    <col min="3" max="3" width="30.44140625" style="521" bestFit="1" customWidth="1"/>
    <col min="4" max="4" width="13.44140625" style="521" bestFit="1" customWidth="1"/>
    <col min="5" max="5" width="11.109375" style="521" customWidth="1"/>
    <col min="6" max="6" width="13.44140625" style="521" bestFit="1" customWidth="1"/>
    <col min="7" max="8" width="11.109375" style="521" bestFit="1" customWidth="1"/>
    <col min="9" max="9" width="12.33203125" style="521" bestFit="1" customWidth="1"/>
    <col min="10" max="10" width="11.6640625" style="521" bestFit="1" customWidth="1"/>
    <col min="11" max="11" width="29" style="521" customWidth="1"/>
    <col min="12" max="12" width="11.6640625" style="521" bestFit="1" customWidth="1"/>
    <col min="13" max="13" width="12.33203125" style="521" bestFit="1" customWidth="1"/>
    <col min="14" max="258" width="11.44140625" style="521"/>
    <col min="259" max="259" width="37" style="521" customWidth="1"/>
    <col min="260" max="260" width="14.88671875" style="521" bestFit="1" customWidth="1"/>
    <col min="261" max="261" width="13.6640625" style="521" bestFit="1" customWidth="1"/>
    <col min="262" max="262" width="14.88671875" style="521" bestFit="1" customWidth="1"/>
    <col min="263" max="263" width="13.6640625" style="521" customWidth="1"/>
    <col min="264" max="264" width="13.5546875" style="521" customWidth="1"/>
    <col min="265" max="265" width="14.33203125" style="521" customWidth="1"/>
    <col min="266" max="514" width="11.44140625" style="521"/>
    <col min="515" max="515" width="37" style="521" customWidth="1"/>
    <col min="516" max="516" width="14.88671875" style="521" bestFit="1" customWidth="1"/>
    <col min="517" max="517" width="13.6640625" style="521" bestFit="1" customWidth="1"/>
    <col min="518" max="518" width="14.88671875" style="521" bestFit="1" customWidth="1"/>
    <col min="519" max="519" width="13.6640625" style="521" customWidth="1"/>
    <col min="520" max="520" width="13.5546875" style="521" customWidth="1"/>
    <col min="521" max="521" width="14.33203125" style="521" customWidth="1"/>
    <col min="522" max="770" width="11.44140625" style="521"/>
    <col min="771" max="771" width="37" style="521" customWidth="1"/>
    <col min="772" max="772" width="14.88671875" style="521" bestFit="1" customWidth="1"/>
    <col min="773" max="773" width="13.6640625" style="521" bestFit="1" customWidth="1"/>
    <col min="774" max="774" width="14.88671875" style="521" bestFit="1" customWidth="1"/>
    <col min="775" max="775" width="13.6640625" style="521" customWidth="1"/>
    <col min="776" max="776" width="13.5546875" style="521" customWidth="1"/>
    <col min="777" max="777" width="14.33203125" style="521" customWidth="1"/>
    <col min="778" max="1026" width="11.44140625" style="521"/>
    <col min="1027" max="1027" width="37" style="521" customWidth="1"/>
    <col min="1028" max="1028" width="14.88671875" style="521" bestFit="1" customWidth="1"/>
    <col min="1029" max="1029" width="13.6640625" style="521" bestFit="1" customWidth="1"/>
    <col min="1030" max="1030" width="14.88671875" style="521" bestFit="1" customWidth="1"/>
    <col min="1031" max="1031" width="13.6640625" style="521" customWidth="1"/>
    <col min="1032" max="1032" width="13.5546875" style="521" customWidth="1"/>
    <col min="1033" max="1033" width="14.33203125" style="521" customWidth="1"/>
    <col min="1034" max="1282" width="11.44140625" style="521"/>
    <col min="1283" max="1283" width="37" style="521" customWidth="1"/>
    <col min="1284" max="1284" width="14.88671875" style="521" bestFit="1" customWidth="1"/>
    <col min="1285" max="1285" width="13.6640625" style="521" bestFit="1" customWidth="1"/>
    <col min="1286" max="1286" width="14.88671875" style="521" bestFit="1" customWidth="1"/>
    <col min="1287" max="1287" width="13.6640625" style="521" customWidth="1"/>
    <col min="1288" max="1288" width="13.5546875" style="521" customWidth="1"/>
    <col min="1289" max="1289" width="14.33203125" style="521" customWidth="1"/>
    <col min="1290" max="1538" width="11.44140625" style="521"/>
    <col min="1539" max="1539" width="37" style="521" customWidth="1"/>
    <col min="1540" max="1540" width="14.88671875" style="521" bestFit="1" customWidth="1"/>
    <col min="1541" max="1541" width="13.6640625" style="521" bestFit="1" customWidth="1"/>
    <col min="1542" max="1542" width="14.88671875" style="521" bestFit="1" customWidth="1"/>
    <col min="1543" max="1543" width="13.6640625" style="521" customWidth="1"/>
    <col min="1544" max="1544" width="13.5546875" style="521" customWidth="1"/>
    <col min="1545" max="1545" width="14.33203125" style="521" customWidth="1"/>
    <col min="1546" max="1794" width="11.44140625" style="521"/>
    <col min="1795" max="1795" width="37" style="521" customWidth="1"/>
    <col min="1796" max="1796" width="14.88671875" style="521" bestFit="1" customWidth="1"/>
    <col min="1797" max="1797" width="13.6640625" style="521" bestFit="1" customWidth="1"/>
    <col min="1798" max="1798" width="14.88671875" style="521" bestFit="1" customWidth="1"/>
    <col min="1799" max="1799" width="13.6640625" style="521" customWidth="1"/>
    <col min="1800" max="1800" width="13.5546875" style="521" customWidth="1"/>
    <col min="1801" max="1801" width="14.33203125" style="521" customWidth="1"/>
    <col min="1802" max="2050" width="11.44140625" style="521"/>
    <col min="2051" max="2051" width="37" style="521" customWidth="1"/>
    <col min="2052" max="2052" width="14.88671875" style="521" bestFit="1" customWidth="1"/>
    <col min="2053" max="2053" width="13.6640625" style="521" bestFit="1" customWidth="1"/>
    <col min="2054" max="2054" width="14.88671875" style="521" bestFit="1" customWidth="1"/>
    <col min="2055" max="2055" width="13.6640625" style="521" customWidth="1"/>
    <col min="2056" max="2056" width="13.5546875" style="521" customWidth="1"/>
    <col min="2057" max="2057" width="14.33203125" style="521" customWidth="1"/>
    <col min="2058" max="2306" width="11.44140625" style="521"/>
    <col min="2307" max="2307" width="37" style="521" customWidth="1"/>
    <col min="2308" max="2308" width="14.88671875" style="521" bestFit="1" customWidth="1"/>
    <col min="2309" max="2309" width="13.6640625" style="521" bestFit="1" customWidth="1"/>
    <col min="2310" max="2310" width="14.88671875" style="521" bestFit="1" customWidth="1"/>
    <col min="2311" max="2311" width="13.6640625" style="521" customWidth="1"/>
    <col min="2312" max="2312" width="13.5546875" style="521" customWidth="1"/>
    <col min="2313" max="2313" width="14.33203125" style="521" customWidth="1"/>
    <col min="2314" max="2562" width="11.44140625" style="521"/>
    <col min="2563" max="2563" width="37" style="521" customWidth="1"/>
    <col min="2564" max="2564" width="14.88671875" style="521" bestFit="1" customWidth="1"/>
    <col min="2565" max="2565" width="13.6640625" style="521" bestFit="1" customWidth="1"/>
    <col min="2566" max="2566" width="14.88671875" style="521" bestFit="1" customWidth="1"/>
    <col min="2567" max="2567" width="13.6640625" style="521" customWidth="1"/>
    <col min="2568" max="2568" width="13.5546875" style="521" customWidth="1"/>
    <col min="2569" max="2569" width="14.33203125" style="521" customWidth="1"/>
    <col min="2570" max="2818" width="11.44140625" style="521"/>
    <col min="2819" max="2819" width="37" style="521" customWidth="1"/>
    <col min="2820" max="2820" width="14.88671875" style="521" bestFit="1" customWidth="1"/>
    <col min="2821" max="2821" width="13.6640625" style="521" bestFit="1" customWidth="1"/>
    <col min="2822" max="2822" width="14.88671875" style="521" bestFit="1" customWidth="1"/>
    <col min="2823" max="2823" width="13.6640625" style="521" customWidth="1"/>
    <col min="2824" max="2824" width="13.5546875" style="521" customWidth="1"/>
    <col min="2825" max="2825" width="14.33203125" style="521" customWidth="1"/>
    <col min="2826" max="3074" width="11.44140625" style="521"/>
    <col min="3075" max="3075" width="37" style="521" customWidth="1"/>
    <col min="3076" max="3076" width="14.88671875" style="521" bestFit="1" customWidth="1"/>
    <col min="3077" max="3077" width="13.6640625" style="521" bestFit="1" customWidth="1"/>
    <col min="3078" max="3078" width="14.88671875" style="521" bestFit="1" customWidth="1"/>
    <col min="3079" max="3079" width="13.6640625" style="521" customWidth="1"/>
    <col min="3080" max="3080" width="13.5546875" style="521" customWidth="1"/>
    <col min="3081" max="3081" width="14.33203125" style="521" customWidth="1"/>
    <col min="3082" max="3330" width="11.44140625" style="521"/>
    <col min="3331" max="3331" width="37" style="521" customWidth="1"/>
    <col min="3332" max="3332" width="14.88671875" style="521" bestFit="1" customWidth="1"/>
    <col min="3333" max="3333" width="13.6640625" style="521" bestFit="1" customWidth="1"/>
    <col min="3334" max="3334" width="14.88671875" style="521" bestFit="1" customWidth="1"/>
    <col min="3335" max="3335" width="13.6640625" style="521" customWidth="1"/>
    <col min="3336" max="3336" width="13.5546875" style="521" customWidth="1"/>
    <col min="3337" max="3337" width="14.33203125" style="521" customWidth="1"/>
    <col min="3338" max="3586" width="11.44140625" style="521"/>
    <col min="3587" max="3587" width="37" style="521" customWidth="1"/>
    <col min="3588" max="3588" width="14.88671875" style="521" bestFit="1" customWidth="1"/>
    <col min="3589" max="3589" width="13.6640625" style="521" bestFit="1" customWidth="1"/>
    <col min="3590" max="3590" width="14.88671875" style="521" bestFit="1" customWidth="1"/>
    <col min="3591" max="3591" width="13.6640625" style="521" customWidth="1"/>
    <col min="3592" max="3592" width="13.5546875" style="521" customWidth="1"/>
    <col min="3593" max="3593" width="14.33203125" style="521" customWidth="1"/>
    <col min="3594" max="3842" width="11.44140625" style="521"/>
    <col min="3843" max="3843" width="37" style="521" customWidth="1"/>
    <col min="3844" max="3844" width="14.88671875" style="521" bestFit="1" customWidth="1"/>
    <col min="3845" max="3845" width="13.6640625" style="521" bestFit="1" customWidth="1"/>
    <col min="3846" max="3846" width="14.88671875" style="521" bestFit="1" customWidth="1"/>
    <col min="3847" max="3847" width="13.6640625" style="521" customWidth="1"/>
    <col min="3848" max="3848" width="13.5546875" style="521" customWidth="1"/>
    <col min="3849" max="3849" width="14.33203125" style="521" customWidth="1"/>
    <col min="3850" max="4098" width="11.44140625" style="521"/>
    <col min="4099" max="4099" width="37" style="521" customWidth="1"/>
    <col min="4100" max="4100" width="14.88671875" style="521" bestFit="1" customWidth="1"/>
    <col min="4101" max="4101" width="13.6640625" style="521" bestFit="1" customWidth="1"/>
    <col min="4102" max="4102" width="14.88671875" style="521" bestFit="1" customWidth="1"/>
    <col min="4103" max="4103" width="13.6640625" style="521" customWidth="1"/>
    <col min="4104" max="4104" width="13.5546875" style="521" customWidth="1"/>
    <col min="4105" max="4105" width="14.33203125" style="521" customWidth="1"/>
    <col min="4106" max="4354" width="11.44140625" style="521"/>
    <col min="4355" max="4355" width="37" style="521" customWidth="1"/>
    <col min="4356" max="4356" width="14.88671875" style="521" bestFit="1" customWidth="1"/>
    <col min="4357" max="4357" width="13.6640625" style="521" bestFit="1" customWidth="1"/>
    <col min="4358" max="4358" width="14.88671875" style="521" bestFit="1" customWidth="1"/>
    <col min="4359" max="4359" width="13.6640625" style="521" customWidth="1"/>
    <col min="4360" max="4360" width="13.5546875" style="521" customWidth="1"/>
    <col min="4361" max="4361" width="14.33203125" style="521" customWidth="1"/>
    <col min="4362" max="4610" width="11.44140625" style="521"/>
    <col min="4611" max="4611" width="37" style="521" customWidth="1"/>
    <col min="4612" max="4612" width="14.88671875" style="521" bestFit="1" customWidth="1"/>
    <col min="4613" max="4613" width="13.6640625" style="521" bestFit="1" customWidth="1"/>
    <col min="4614" max="4614" width="14.88671875" style="521" bestFit="1" customWidth="1"/>
    <col min="4615" max="4615" width="13.6640625" style="521" customWidth="1"/>
    <col min="4616" max="4616" width="13.5546875" style="521" customWidth="1"/>
    <col min="4617" max="4617" width="14.33203125" style="521" customWidth="1"/>
    <col min="4618" max="4866" width="11.44140625" style="521"/>
    <col min="4867" max="4867" width="37" style="521" customWidth="1"/>
    <col min="4868" max="4868" width="14.88671875" style="521" bestFit="1" customWidth="1"/>
    <col min="4869" max="4869" width="13.6640625" style="521" bestFit="1" customWidth="1"/>
    <col min="4870" max="4870" width="14.88671875" style="521" bestFit="1" customWidth="1"/>
    <col min="4871" max="4871" width="13.6640625" style="521" customWidth="1"/>
    <col min="4872" max="4872" width="13.5546875" style="521" customWidth="1"/>
    <col min="4873" max="4873" width="14.33203125" style="521" customWidth="1"/>
    <col min="4874" max="5122" width="11.44140625" style="521"/>
    <col min="5123" max="5123" width="37" style="521" customWidth="1"/>
    <col min="5124" max="5124" width="14.88671875" style="521" bestFit="1" customWidth="1"/>
    <col min="5125" max="5125" width="13.6640625" style="521" bestFit="1" customWidth="1"/>
    <col min="5126" max="5126" width="14.88671875" style="521" bestFit="1" customWidth="1"/>
    <col min="5127" max="5127" width="13.6640625" style="521" customWidth="1"/>
    <col min="5128" max="5128" width="13.5546875" style="521" customWidth="1"/>
    <col min="5129" max="5129" width="14.33203125" style="521" customWidth="1"/>
    <col min="5130" max="5378" width="11.44140625" style="521"/>
    <col min="5379" max="5379" width="37" style="521" customWidth="1"/>
    <col min="5380" max="5380" width="14.88671875" style="521" bestFit="1" customWidth="1"/>
    <col min="5381" max="5381" width="13.6640625" style="521" bestFit="1" customWidth="1"/>
    <col min="5382" max="5382" width="14.88671875" style="521" bestFit="1" customWidth="1"/>
    <col min="5383" max="5383" width="13.6640625" style="521" customWidth="1"/>
    <col min="5384" max="5384" width="13.5546875" style="521" customWidth="1"/>
    <col min="5385" max="5385" width="14.33203125" style="521" customWidth="1"/>
    <col min="5386" max="5634" width="11.44140625" style="521"/>
    <col min="5635" max="5635" width="37" style="521" customWidth="1"/>
    <col min="5636" max="5636" width="14.88671875" style="521" bestFit="1" customWidth="1"/>
    <col min="5637" max="5637" width="13.6640625" style="521" bestFit="1" customWidth="1"/>
    <col min="5638" max="5638" width="14.88671875" style="521" bestFit="1" customWidth="1"/>
    <col min="5639" max="5639" width="13.6640625" style="521" customWidth="1"/>
    <col min="5640" max="5640" width="13.5546875" style="521" customWidth="1"/>
    <col min="5641" max="5641" width="14.33203125" style="521" customWidth="1"/>
    <col min="5642" max="5890" width="11.44140625" style="521"/>
    <col min="5891" max="5891" width="37" style="521" customWidth="1"/>
    <col min="5892" max="5892" width="14.88671875" style="521" bestFit="1" customWidth="1"/>
    <col min="5893" max="5893" width="13.6640625" style="521" bestFit="1" customWidth="1"/>
    <col min="5894" max="5894" width="14.88671875" style="521" bestFit="1" customWidth="1"/>
    <col min="5895" max="5895" width="13.6640625" style="521" customWidth="1"/>
    <col min="5896" max="5896" width="13.5546875" style="521" customWidth="1"/>
    <col min="5897" max="5897" width="14.33203125" style="521" customWidth="1"/>
    <col min="5898" max="6146" width="11.44140625" style="521"/>
    <col min="6147" max="6147" width="37" style="521" customWidth="1"/>
    <col min="6148" max="6148" width="14.88671875" style="521" bestFit="1" customWidth="1"/>
    <col min="6149" max="6149" width="13.6640625" style="521" bestFit="1" customWidth="1"/>
    <col min="6150" max="6150" width="14.88671875" style="521" bestFit="1" customWidth="1"/>
    <col min="6151" max="6151" width="13.6640625" style="521" customWidth="1"/>
    <col min="6152" max="6152" width="13.5546875" style="521" customWidth="1"/>
    <col min="6153" max="6153" width="14.33203125" style="521" customWidth="1"/>
    <col min="6154" max="6402" width="11.44140625" style="521"/>
    <col min="6403" max="6403" width="37" style="521" customWidth="1"/>
    <col min="6404" max="6404" width="14.88671875" style="521" bestFit="1" customWidth="1"/>
    <col min="6405" max="6405" width="13.6640625" style="521" bestFit="1" customWidth="1"/>
    <col min="6406" max="6406" width="14.88671875" style="521" bestFit="1" customWidth="1"/>
    <col min="6407" max="6407" width="13.6640625" style="521" customWidth="1"/>
    <col min="6408" max="6408" width="13.5546875" style="521" customWidth="1"/>
    <col min="6409" max="6409" width="14.33203125" style="521" customWidth="1"/>
    <col min="6410" max="6658" width="11.44140625" style="521"/>
    <col min="6659" max="6659" width="37" style="521" customWidth="1"/>
    <col min="6660" max="6660" width="14.88671875" style="521" bestFit="1" customWidth="1"/>
    <col min="6661" max="6661" width="13.6640625" style="521" bestFit="1" customWidth="1"/>
    <col min="6662" max="6662" width="14.88671875" style="521" bestFit="1" customWidth="1"/>
    <col min="6663" max="6663" width="13.6640625" style="521" customWidth="1"/>
    <col min="6664" max="6664" width="13.5546875" style="521" customWidth="1"/>
    <col min="6665" max="6665" width="14.33203125" style="521" customWidth="1"/>
    <col min="6666" max="6914" width="11.44140625" style="521"/>
    <col min="6915" max="6915" width="37" style="521" customWidth="1"/>
    <col min="6916" max="6916" width="14.88671875" style="521" bestFit="1" customWidth="1"/>
    <col min="6917" max="6917" width="13.6640625" style="521" bestFit="1" customWidth="1"/>
    <col min="6918" max="6918" width="14.88671875" style="521" bestFit="1" customWidth="1"/>
    <col min="6919" max="6919" width="13.6640625" style="521" customWidth="1"/>
    <col min="6920" max="6920" width="13.5546875" style="521" customWidth="1"/>
    <col min="6921" max="6921" width="14.33203125" style="521" customWidth="1"/>
    <col min="6922" max="7170" width="11.44140625" style="521"/>
    <col min="7171" max="7171" width="37" style="521" customWidth="1"/>
    <col min="7172" max="7172" width="14.88671875" style="521" bestFit="1" customWidth="1"/>
    <col min="7173" max="7173" width="13.6640625" style="521" bestFit="1" customWidth="1"/>
    <col min="7174" max="7174" width="14.88671875" style="521" bestFit="1" customWidth="1"/>
    <col min="7175" max="7175" width="13.6640625" style="521" customWidth="1"/>
    <col min="7176" max="7176" width="13.5546875" style="521" customWidth="1"/>
    <col min="7177" max="7177" width="14.33203125" style="521" customWidth="1"/>
    <col min="7178" max="7426" width="11.44140625" style="521"/>
    <col min="7427" max="7427" width="37" style="521" customWidth="1"/>
    <col min="7428" max="7428" width="14.88671875" style="521" bestFit="1" customWidth="1"/>
    <col min="7429" max="7429" width="13.6640625" style="521" bestFit="1" customWidth="1"/>
    <col min="7430" max="7430" width="14.88671875" style="521" bestFit="1" customWidth="1"/>
    <col min="7431" max="7431" width="13.6640625" style="521" customWidth="1"/>
    <col min="7432" max="7432" width="13.5546875" style="521" customWidth="1"/>
    <col min="7433" max="7433" width="14.33203125" style="521" customWidth="1"/>
    <col min="7434" max="7682" width="11.44140625" style="521"/>
    <col min="7683" max="7683" width="37" style="521" customWidth="1"/>
    <col min="7684" max="7684" width="14.88671875" style="521" bestFit="1" customWidth="1"/>
    <col min="7685" max="7685" width="13.6640625" style="521" bestFit="1" customWidth="1"/>
    <col min="7686" max="7686" width="14.88671875" style="521" bestFit="1" customWidth="1"/>
    <col min="7687" max="7687" width="13.6640625" style="521" customWidth="1"/>
    <col min="7688" max="7688" width="13.5546875" style="521" customWidth="1"/>
    <col min="7689" max="7689" width="14.33203125" style="521" customWidth="1"/>
    <col min="7690" max="7938" width="11.44140625" style="521"/>
    <col min="7939" max="7939" width="37" style="521" customWidth="1"/>
    <col min="7940" max="7940" width="14.88671875" style="521" bestFit="1" customWidth="1"/>
    <col min="7941" max="7941" width="13.6640625" style="521" bestFit="1" customWidth="1"/>
    <col min="7942" max="7942" width="14.88671875" style="521" bestFit="1" customWidth="1"/>
    <col min="7943" max="7943" width="13.6640625" style="521" customWidth="1"/>
    <col min="7944" max="7944" width="13.5546875" style="521" customWidth="1"/>
    <col min="7945" max="7945" width="14.33203125" style="521" customWidth="1"/>
    <col min="7946" max="8194" width="11.44140625" style="521"/>
    <col min="8195" max="8195" width="37" style="521" customWidth="1"/>
    <col min="8196" max="8196" width="14.88671875" style="521" bestFit="1" customWidth="1"/>
    <col min="8197" max="8197" width="13.6640625" style="521" bestFit="1" customWidth="1"/>
    <col min="8198" max="8198" width="14.88671875" style="521" bestFit="1" customWidth="1"/>
    <col min="8199" max="8199" width="13.6640625" style="521" customWidth="1"/>
    <col min="8200" max="8200" width="13.5546875" style="521" customWidth="1"/>
    <col min="8201" max="8201" width="14.33203125" style="521" customWidth="1"/>
    <col min="8202" max="8450" width="11.44140625" style="521"/>
    <col min="8451" max="8451" width="37" style="521" customWidth="1"/>
    <col min="8452" max="8452" width="14.88671875" style="521" bestFit="1" customWidth="1"/>
    <col min="8453" max="8453" width="13.6640625" style="521" bestFit="1" customWidth="1"/>
    <col min="8454" max="8454" width="14.88671875" style="521" bestFit="1" customWidth="1"/>
    <col min="8455" max="8455" width="13.6640625" style="521" customWidth="1"/>
    <col min="8456" max="8456" width="13.5546875" style="521" customWidth="1"/>
    <col min="8457" max="8457" width="14.33203125" style="521" customWidth="1"/>
    <col min="8458" max="8706" width="11.44140625" style="521"/>
    <col min="8707" max="8707" width="37" style="521" customWidth="1"/>
    <col min="8708" max="8708" width="14.88671875" style="521" bestFit="1" customWidth="1"/>
    <col min="8709" max="8709" width="13.6640625" style="521" bestFit="1" customWidth="1"/>
    <col min="8710" max="8710" width="14.88671875" style="521" bestFit="1" customWidth="1"/>
    <col min="8711" max="8711" width="13.6640625" style="521" customWidth="1"/>
    <col min="8712" max="8712" width="13.5546875" style="521" customWidth="1"/>
    <col min="8713" max="8713" width="14.33203125" style="521" customWidth="1"/>
    <col min="8714" max="8962" width="11.44140625" style="521"/>
    <col min="8963" max="8963" width="37" style="521" customWidth="1"/>
    <col min="8964" max="8964" width="14.88671875" style="521" bestFit="1" customWidth="1"/>
    <col min="8965" max="8965" width="13.6640625" style="521" bestFit="1" customWidth="1"/>
    <col min="8966" max="8966" width="14.88671875" style="521" bestFit="1" customWidth="1"/>
    <col min="8967" max="8967" width="13.6640625" style="521" customWidth="1"/>
    <col min="8968" max="8968" width="13.5546875" style="521" customWidth="1"/>
    <col min="8969" max="8969" width="14.33203125" style="521" customWidth="1"/>
    <col min="8970" max="9218" width="11.44140625" style="521"/>
    <col min="9219" max="9219" width="37" style="521" customWidth="1"/>
    <col min="9220" max="9220" width="14.88671875" style="521" bestFit="1" customWidth="1"/>
    <col min="9221" max="9221" width="13.6640625" style="521" bestFit="1" customWidth="1"/>
    <col min="9222" max="9222" width="14.88671875" style="521" bestFit="1" customWidth="1"/>
    <col min="9223" max="9223" width="13.6640625" style="521" customWidth="1"/>
    <col min="9224" max="9224" width="13.5546875" style="521" customWidth="1"/>
    <col min="9225" max="9225" width="14.33203125" style="521" customWidth="1"/>
    <col min="9226" max="9474" width="11.44140625" style="521"/>
    <col min="9475" max="9475" width="37" style="521" customWidth="1"/>
    <col min="9476" max="9476" width="14.88671875" style="521" bestFit="1" customWidth="1"/>
    <col min="9477" max="9477" width="13.6640625" style="521" bestFit="1" customWidth="1"/>
    <col min="9478" max="9478" width="14.88671875" style="521" bestFit="1" customWidth="1"/>
    <col min="9479" max="9479" width="13.6640625" style="521" customWidth="1"/>
    <col min="9480" max="9480" width="13.5546875" style="521" customWidth="1"/>
    <col min="9481" max="9481" width="14.33203125" style="521" customWidth="1"/>
    <col min="9482" max="9730" width="11.44140625" style="521"/>
    <col min="9731" max="9731" width="37" style="521" customWidth="1"/>
    <col min="9732" max="9732" width="14.88671875" style="521" bestFit="1" customWidth="1"/>
    <col min="9733" max="9733" width="13.6640625" style="521" bestFit="1" customWidth="1"/>
    <col min="9734" max="9734" width="14.88671875" style="521" bestFit="1" customWidth="1"/>
    <col min="9735" max="9735" width="13.6640625" style="521" customWidth="1"/>
    <col min="9736" max="9736" width="13.5546875" style="521" customWidth="1"/>
    <col min="9737" max="9737" width="14.33203125" style="521" customWidth="1"/>
    <col min="9738" max="9986" width="11.44140625" style="521"/>
    <col min="9987" max="9987" width="37" style="521" customWidth="1"/>
    <col min="9988" max="9988" width="14.88671875" style="521" bestFit="1" customWidth="1"/>
    <col min="9989" max="9989" width="13.6640625" style="521" bestFit="1" customWidth="1"/>
    <col min="9990" max="9990" width="14.88671875" style="521" bestFit="1" customWidth="1"/>
    <col min="9991" max="9991" width="13.6640625" style="521" customWidth="1"/>
    <col min="9992" max="9992" width="13.5546875" style="521" customWidth="1"/>
    <col min="9993" max="9993" width="14.33203125" style="521" customWidth="1"/>
    <col min="9994" max="10242" width="11.44140625" style="521"/>
    <col min="10243" max="10243" width="37" style="521" customWidth="1"/>
    <col min="10244" max="10244" width="14.88671875" style="521" bestFit="1" customWidth="1"/>
    <col min="10245" max="10245" width="13.6640625" style="521" bestFit="1" customWidth="1"/>
    <col min="10246" max="10246" width="14.88671875" style="521" bestFit="1" customWidth="1"/>
    <col min="10247" max="10247" width="13.6640625" style="521" customWidth="1"/>
    <col min="10248" max="10248" width="13.5546875" style="521" customWidth="1"/>
    <col min="10249" max="10249" width="14.33203125" style="521" customWidth="1"/>
    <col min="10250" max="10498" width="11.44140625" style="521"/>
    <col min="10499" max="10499" width="37" style="521" customWidth="1"/>
    <col min="10500" max="10500" width="14.88671875" style="521" bestFit="1" customWidth="1"/>
    <col min="10501" max="10501" width="13.6640625" style="521" bestFit="1" customWidth="1"/>
    <col min="10502" max="10502" width="14.88671875" style="521" bestFit="1" customWidth="1"/>
    <col min="10503" max="10503" width="13.6640625" style="521" customWidth="1"/>
    <col min="10504" max="10504" width="13.5546875" style="521" customWidth="1"/>
    <col min="10505" max="10505" width="14.33203125" style="521" customWidth="1"/>
    <col min="10506" max="10754" width="11.44140625" style="521"/>
    <col min="10755" max="10755" width="37" style="521" customWidth="1"/>
    <col min="10756" max="10756" width="14.88671875" style="521" bestFit="1" customWidth="1"/>
    <col min="10757" max="10757" width="13.6640625" style="521" bestFit="1" customWidth="1"/>
    <col min="10758" max="10758" width="14.88671875" style="521" bestFit="1" customWidth="1"/>
    <col min="10759" max="10759" width="13.6640625" style="521" customWidth="1"/>
    <col min="10760" max="10760" width="13.5546875" style="521" customWidth="1"/>
    <col min="10761" max="10761" width="14.33203125" style="521" customWidth="1"/>
    <col min="10762" max="11010" width="11.44140625" style="521"/>
    <col min="11011" max="11011" width="37" style="521" customWidth="1"/>
    <col min="11012" max="11012" width="14.88671875" style="521" bestFit="1" customWidth="1"/>
    <col min="11013" max="11013" width="13.6640625" style="521" bestFit="1" customWidth="1"/>
    <col min="11014" max="11014" width="14.88671875" style="521" bestFit="1" customWidth="1"/>
    <col min="11015" max="11015" width="13.6640625" style="521" customWidth="1"/>
    <col min="11016" max="11016" width="13.5546875" style="521" customWidth="1"/>
    <col min="11017" max="11017" width="14.33203125" style="521" customWidth="1"/>
    <col min="11018" max="11266" width="11.44140625" style="521"/>
    <col min="11267" max="11267" width="37" style="521" customWidth="1"/>
    <col min="11268" max="11268" width="14.88671875" style="521" bestFit="1" customWidth="1"/>
    <col min="11269" max="11269" width="13.6640625" style="521" bestFit="1" customWidth="1"/>
    <col min="11270" max="11270" width="14.88671875" style="521" bestFit="1" customWidth="1"/>
    <col min="11271" max="11271" width="13.6640625" style="521" customWidth="1"/>
    <col min="11272" max="11272" width="13.5546875" style="521" customWidth="1"/>
    <col min="11273" max="11273" width="14.33203125" style="521" customWidth="1"/>
    <col min="11274" max="11522" width="11.44140625" style="521"/>
    <col min="11523" max="11523" width="37" style="521" customWidth="1"/>
    <col min="11524" max="11524" width="14.88671875" style="521" bestFit="1" customWidth="1"/>
    <col min="11525" max="11525" width="13.6640625" style="521" bestFit="1" customWidth="1"/>
    <col min="11526" max="11526" width="14.88671875" style="521" bestFit="1" customWidth="1"/>
    <col min="11527" max="11527" width="13.6640625" style="521" customWidth="1"/>
    <col min="11528" max="11528" width="13.5546875" style="521" customWidth="1"/>
    <col min="11529" max="11529" width="14.33203125" style="521" customWidth="1"/>
    <col min="11530" max="11778" width="11.44140625" style="521"/>
    <col min="11779" max="11779" width="37" style="521" customWidth="1"/>
    <col min="11780" max="11780" width="14.88671875" style="521" bestFit="1" customWidth="1"/>
    <col min="11781" max="11781" width="13.6640625" style="521" bestFit="1" customWidth="1"/>
    <col min="11782" max="11782" width="14.88671875" style="521" bestFit="1" customWidth="1"/>
    <col min="11783" max="11783" width="13.6640625" style="521" customWidth="1"/>
    <col min="11784" max="11784" width="13.5546875" style="521" customWidth="1"/>
    <col min="11785" max="11785" width="14.33203125" style="521" customWidth="1"/>
    <col min="11786" max="12034" width="11.44140625" style="521"/>
    <col min="12035" max="12035" width="37" style="521" customWidth="1"/>
    <col min="12036" max="12036" width="14.88671875" style="521" bestFit="1" customWidth="1"/>
    <col min="12037" max="12037" width="13.6640625" style="521" bestFit="1" customWidth="1"/>
    <col min="12038" max="12038" width="14.88671875" style="521" bestFit="1" customWidth="1"/>
    <col min="12039" max="12039" width="13.6640625" style="521" customWidth="1"/>
    <col min="12040" max="12040" width="13.5546875" style="521" customWidth="1"/>
    <col min="12041" max="12041" width="14.33203125" style="521" customWidth="1"/>
    <col min="12042" max="12290" width="11.44140625" style="521"/>
    <col min="12291" max="12291" width="37" style="521" customWidth="1"/>
    <col min="12292" max="12292" width="14.88671875" style="521" bestFit="1" customWidth="1"/>
    <col min="12293" max="12293" width="13.6640625" style="521" bestFit="1" customWidth="1"/>
    <col min="12294" max="12294" width="14.88671875" style="521" bestFit="1" customWidth="1"/>
    <col min="12295" max="12295" width="13.6640625" style="521" customWidth="1"/>
    <col min="12296" max="12296" width="13.5546875" style="521" customWidth="1"/>
    <col min="12297" max="12297" width="14.33203125" style="521" customWidth="1"/>
    <col min="12298" max="12546" width="11.44140625" style="521"/>
    <col min="12547" max="12547" width="37" style="521" customWidth="1"/>
    <col min="12548" max="12548" width="14.88671875" style="521" bestFit="1" customWidth="1"/>
    <col min="12549" max="12549" width="13.6640625" style="521" bestFit="1" customWidth="1"/>
    <col min="12550" max="12550" width="14.88671875" style="521" bestFit="1" customWidth="1"/>
    <col min="12551" max="12551" width="13.6640625" style="521" customWidth="1"/>
    <col min="12552" max="12552" width="13.5546875" style="521" customWidth="1"/>
    <col min="12553" max="12553" width="14.33203125" style="521" customWidth="1"/>
    <col min="12554" max="12802" width="11.44140625" style="521"/>
    <col min="12803" max="12803" width="37" style="521" customWidth="1"/>
    <col min="12804" max="12804" width="14.88671875" style="521" bestFit="1" customWidth="1"/>
    <col min="12805" max="12805" width="13.6640625" style="521" bestFit="1" customWidth="1"/>
    <col min="12806" max="12806" width="14.88671875" style="521" bestFit="1" customWidth="1"/>
    <col min="12807" max="12807" width="13.6640625" style="521" customWidth="1"/>
    <col min="12808" max="12808" width="13.5546875" style="521" customWidth="1"/>
    <col min="12809" max="12809" width="14.33203125" style="521" customWidth="1"/>
    <col min="12810" max="13058" width="11.44140625" style="521"/>
    <col min="13059" max="13059" width="37" style="521" customWidth="1"/>
    <col min="13060" max="13060" width="14.88671875" style="521" bestFit="1" customWidth="1"/>
    <col min="13061" max="13061" width="13.6640625" style="521" bestFit="1" customWidth="1"/>
    <col min="13062" max="13062" width="14.88671875" style="521" bestFit="1" customWidth="1"/>
    <col min="13063" max="13063" width="13.6640625" style="521" customWidth="1"/>
    <col min="13064" max="13064" width="13.5546875" style="521" customWidth="1"/>
    <col min="13065" max="13065" width="14.33203125" style="521" customWidth="1"/>
    <col min="13066" max="13314" width="11.44140625" style="521"/>
    <col min="13315" max="13315" width="37" style="521" customWidth="1"/>
    <col min="13316" max="13316" width="14.88671875" style="521" bestFit="1" customWidth="1"/>
    <col min="13317" max="13317" width="13.6640625" style="521" bestFit="1" customWidth="1"/>
    <col min="13318" max="13318" width="14.88671875" style="521" bestFit="1" customWidth="1"/>
    <col min="13319" max="13319" width="13.6640625" style="521" customWidth="1"/>
    <col min="13320" max="13320" width="13.5546875" style="521" customWidth="1"/>
    <col min="13321" max="13321" width="14.33203125" style="521" customWidth="1"/>
    <col min="13322" max="13570" width="11.44140625" style="521"/>
    <col min="13571" max="13571" width="37" style="521" customWidth="1"/>
    <col min="13572" max="13572" width="14.88671875" style="521" bestFit="1" customWidth="1"/>
    <col min="13573" max="13573" width="13.6640625" style="521" bestFit="1" customWidth="1"/>
    <col min="13574" max="13574" width="14.88671875" style="521" bestFit="1" customWidth="1"/>
    <col min="13575" max="13575" width="13.6640625" style="521" customWidth="1"/>
    <col min="13576" max="13576" width="13.5546875" style="521" customWidth="1"/>
    <col min="13577" max="13577" width="14.33203125" style="521" customWidth="1"/>
    <col min="13578" max="13826" width="11.44140625" style="521"/>
    <col min="13827" max="13827" width="37" style="521" customWidth="1"/>
    <col min="13828" max="13828" width="14.88671875" style="521" bestFit="1" customWidth="1"/>
    <col min="13829" max="13829" width="13.6640625" style="521" bestFit="1" customWidth="1"/>
    <col min="13830" max="13830" width="14.88671875" style="521" bestFit="1" customWidth="1"/>
    <col min="13831" max="13831" width="13.6640625" style="521" customWidth="1"/>
    <col min="13832" max="13832" width="13.5546875" style="521" customWidth="1"/>
    <col min="13833" max="13833" width="14.33203125" style="521" customWidth="1"/>
    <col min="13834" max="14082" width="11.44140625" style="521"/>
    <col min="14083" max="14083" width="37" style="521" customWidth="1"/>
    <col min="14084" max="14084" width="14.88671875" style="521" bestFit="1" customWidth="1"/>
    <col min="14085" max="14085" width="13.6640625" style="521" bestFit="1" customWidth="1"/>
    <col min="14086" max="14086" width="14.88671875" style="521" bestFit="1" customWidth="1"/>
    <col min="14087" max="14087" width="13.6640625" style="521" customWidth="1"/>
    <col min="14088" max="14088" width="13.5546875" style="521" customWidth="1"/>
    <col min="14089" max="14089" width="14.33203125" style="521" customWidth="1"/>
    <col min="14090" max="14338" width="11.44140625" style="521"/>
    <col min="14339" max="14339" width="37" style="521" customWidth="1"/>
    <col min="14340" max="14340" width="14.88671875" style="521" bestFit="1" customWidth="1"/>
    <col min="14341" max="14341" width="13.6640625" style="521" bestFit="1" customWidth="1"/>
    <col min="14342" max="14342" width="14.88671875" style="521" bestFit="1" customWidth="1"/>
    <col min="14343" max="14343" width="13.6640625" style="521" customWidth="1"/>
    <col min="14344" max="14344" width="13.5546875" style="521" customWidth="1"/>
    <col min="14345" max="14345" width="14.33203125" style="521" customWidth="1"/>
    <col min="14346" max="14594" width="11.44140625" style="521"/>
    <col min="14595" max="14595" width="37" style="521" customWidth="1"/>
    <col min="14596" max="14596" width="14.88671875" style="521" bestFit="1" customWidth="1"/>
    <col min="14597" max="14597" width="13.6640625" style="521" bestFit="1" customWidth="1"/>
    <col min="14598" max="14598" width="14.88671875" style="521" bestFit="1" customWidth="1"/>
    <col min="14599" max="14599" width="13.6640625" style="521" customWidth="1"/>
    <col min="14600" max="14600" width="13.5546875" style="521" customWidth="1"/>
    <col min="14601" max="14601" width="14.33203125" style="521" customWidth="1"/>
    <col min="14602" max="14850" width="11.44140625" style="521"/>
    <col min="14851" max="14851" width="37" style="521" customWidth="1"/>
    <col min="14852" max="14852" width="14.88671875" style="521" bestFit="1" customWidth="1"/>
    <col min="14853" max="14853" width="13.6640625" style="521" bestFit="1" customWidth="1"/>
    <col min="14854" max="14854" width="14.88671875" style="521" bestFit="1" customWidth="1"/>
    <col min="14855" max="14855" width="13.6640625" style="521" customWidth="1"/>
    <col min="14856" max="14856" width="13.5546875" style="521" customWidth="1"/>
    <col min="14857" max="14857" width="14.33203125" style="521" customWidth="1"/>
    <col min="14858" max="15106" width="11.44140625" style="521"/>
    <col min="15107" max="15107" width="37" style="521" customWidth="1"/>
    <col min="15108" max="15108" width="14.88671875" style="521" bestFit="1" customWidth="1"/>
    <col min="15109" max="15109" width="13.6640625" style="521" bestFit="1" customWidth="1"/>
    <col min="15110" max="15110" width="14.88671875" style="521" bestFit="1" customWidth="1"/>
    <col min="15111" max="15111" width="13.6640625" style="521" customWidth="1"/>
    <col min="15112" max="15112" width="13.5546875" style="521" customWidth="1"/>
    <col min="15113" max="15113" width="14.33203125" style="521" customWidth="1"/>
    <col min="15114" max="15362" width="11.44140625" style="521"/>
    <col min="15363" max="15363" width="37" style="521" customWidth="1"/>
    <col min="15364" max="15364" width="14.88671875" style="521" bestFit="1" customWidth="1"/>
    <col min="15365" max="15365" width="13.6640625" style="521" bestFit="1" customWidth="1"/>
    <col min="15366" max="15366" width="14.88671875" style="521" bestFit="1" customWidth="1"/>
    <col min="15367" max="15367" width="13.6640625" style="521" customWidth="1"/>
    <col min="15368" max="15368" width="13.5546875" style="521" customWidth="1"/>
    <col min="15369" max="15369" width="14.33203125" style="521" customWidth="1"/>
    <col min="15370" max="15618" width="11.44140625" style="521"/>
    <col min="15619" max="15619" width="37" style="521" customWidth="1"/>
    <col min="15620" max="15620" width="14.88671875" style="521" bestFit="1" customWidth="1"/>
    <col min="15621" max="15621" width="13.6640625" style="521" bestFit="1" customWidth="1"/>
    <col min="15622" max="15622" width="14.88671875" style="521" bestFit="1" customWidth="1"/>
    <col min="15623" max="15623" width="13.6640625" style="521" customWidth="1"/>
    <col min="15624" max="15624" width="13.5546875" style="521" customWidth="1"/>
    <col min="15625" max="15625" width="14.33203125" style="521" customWidth="1"/>
    <col min="15626" max="15874" width="11.44140625" style="521"/>
    <col min="15875" max="15875" width="37" style="521" customWidth="1"/>
    <col min="15876" max="15876" width="14.88671875" style="521" bestFit="1" customWidth="1"/>
    <col min="15877" max="15877" width="13.6640625" style="521" bestFit="1" customWidth="1"/>
    <col min="15878" max="15878" width="14.88671875" style="521" bestFit="1" customWidth="1"/>
    <col min="15879" max="15879" width="13.6640625" style="521" customWidth="1"/>
    <col min="15880" max="15880" width="13.5546875" style="521" customWidth="1"/>
    <col min="15881" max="15881" width="14.33203125" style="521" customWidth="1"/>
    <col min="15882" max="16130" width="11.44140625" style="521"/>
    <col min="16131" max="16131" width="37" style="521" customWidth="1"/>
    <col min="16132" max="16132" width="14.88671875" style="521" bestFit="1" customWidth="1"/>
    <col min="16133" max="16133" width="13.6640625" style="521" bestFit="1" customWidth="1"/>
    <col min="16134" max="16134" width="14.88671875" style="521" bestFit="1" customWidth="1"/>
    <col min="16135" max="16135" width="13.6640625" style="521" customWidth="1"/>
    <col min="16136" max="16136" width="13.5546875" style="521" customWidth="1"/>
    <col min="16137" max="16137" width="14.33203125" style="521" customWidth="1"/>
    <col min="16138" max="16384" width="11.44140625" style="521"/>
  </cols>
  <sheetData>
    <row r="1" spans="3:18" ht="19.95" customHeight="1" x14ac:dyDescent="0.25">
      <c r="C1" s="630" t="s">
        <v>455</v>
      </c>
      <c r="D1" s="630"/>
      <c r="E1" s="630"/>
      <c r="F1" s="630"/>
      <c r="G1" s="630"/>
      <c r="H1" s="630"/>
      <c r="I1" s="630"/>
    </row>
    <row r="3" spans="3:18" ht="14.4" customHeight="1" x14ac:dyDescent="0.25">
      <c r="C3" s="622" t="s">
        <v>184</v>
      </c>
      <c r="D3" s="623"/>
      <c r="E3" s="623"/>
      <c r="F3" s="623"/>
      <c r="G3" s="623"/>
      <c r="H3" s="623"/>
      <c r="I3" s="624"/>
    </row>
    <row r="4" spans="3:18" x14ac:dyDescent="0.25">
      <c r="C4" s="638"/>
      <c r="D4" s="639"/>
      <c r="E4" s="639"/>
      <c r="F4" s="639"/>
      <c r="G4" s="639"/>
      <c r="H4" s="639"/>
      <c r="I4" s="640"/>
    </row>
    <row r="5" spans="3:18" x14ac:dyDescent="0.25">
      <c r="C5" s="537"/>
      <c r="D5" s="538" t="s">
        <v>23</v>
      </c>
      <c r="E5" s="538" t="s">
        <v>0</v>
      </c>
      <c r="F5" s="538" t="s">
        <v>1</v>
      </c>
      <c r="G5" s="538" t="s">
        <v>2</v>
      </c>
      <c r="H5" s="538" t="s">
        <v>3</v>
      </c>
      <c r="I5" s="539" t="s">
        <v>38</v>
      </c>
    </row>
    <row r="6" spans="3:18" x14ac:dyDescent="0.25">
      <c r="C6" s="529" t="s">
        <v>148</v>
      </c>
      <c r="D6" s="486"/>
      <c r="E6" s="522">
        <v>1300</v>
      </c>
      <c r="F6" s="522">
        <v>1325</v>
      </c>
      <c r="G6" s="522">
        <v>1375</v>
      </c>
      <c r="H6" s="522">
        <v>1450</v>
      </c>
      <c r="I6" s="530">
        <v>1320</v>
      </c>
    </row>
    <row r="7" spans="3:18" x14ac:dyDescent="0.25">
      <c r="C7" s="529" t="s">
        <v>149</v>
      </c>
      <c r="D7" s="486"/>
      <c r="E7" s="650">
        <v>5600</v>
      </c>
      <c r="F7" s="650"/>
      <c r="G7" s="650"/>
      <c r="H7" s="650"/>
      <c r="I7" s="651"/>
    </row>
    <row r="8" spans="3:18" x14ac:dyDescent="0.25">
      <c r="C8" s="529" t="s">
        <v>281</v>
      </c>
      <c r="D8" s="486"/>
      <c r="E8" s="648">
        <v>0.45</v>
      </c>
      <c r="F8" s="648"/>
      <c r="G8" s="648"/>
      <c r="H8" s="648"/>
      <c r="I8" s="649"/>
    </row>
    <row r="9" spans="3:18" x14ac:dyDescent="0.25">
      <c r="C9" s="529" t="s">
        <v>44</v>
      </c>
      <c r="D9" s="486"/>
      <c r="E9" s="650">
        <v>1700000</v>
      </c>
      <c r="F9" s="650"/>
      <c r="G9" s="650"/>
      <c r="H9" s="650"/>
      <c r="I9" s="651"/>
      <c r="R9" s="523"/>
    </row>
    <row r="10" spans="3:18" x14ac:dyDescent="0.25">
      <c r="C10" s="529" t="s">
        <v>150</v>
      </c>
      <c r="D10" s="486"/>
      <c r="E10" s="522">
        <v>200</v>
      </c>
      <c r="F10" s="522">
        <v>200</v>
      </c>
      <c r="G10" s="522">
        <v>200</v>
      </c>
      <c r="H10" s="522">
        <v>200</v>
      </c>
      <c r="I10" s="530">
        <v>200</v>
      </c>
    </row>
    <row r="11" spans="3:18" x14ac:dyDescent="0.25">
      <c r="C11" s="529" t="s">
        <v>149</v>
      </c>
      <c r="D11" s="486"/>
      <c r="E11" s="650">
        <v>4500</v>
      </c>
      <c r="F11" s="650"/>
      <c r="G11" s="650"/>
      <c r="H11" s="650"/>
      <c r="I11" s="651"/>
    </row>
    <row r="12" spans="3:18" x14ac:dyDescent="0.25">
      <c r="C12" s="529" t="s">
        <v>282</v>
      </c>
      <c r="D12" s="486"/>
      <c r="E12" s="652">
        <v>0.4</v>
      </c>
      <c r="F12" s="652"/>
      <c r="G12" s="652"/>
      <c r="H12" s="652"/>
      <c r="I12" s="653"/>
    </row>
    <row r="13" spans="3:18" x14ac:dyDescent="0.25">
      <c r="C13" s="529" t="s">
        <v>6</v>
      </c>
      <c r="D13" s="486"/>
      <c r="E13" s="682">
        <v>0.14285714285714285</v>
      </c>
      <c r="F13" s="682"/>
      <c r="G13" s="682"/>
      <c r="H13" s="682"/>
      <c r="I13" s="683"/>
    </row>
    <row r="14" spans="3:18" x14ac:dyDescent="0.25">
      <c r="C14" s="529" t="s">
        <v>175</v>
      </c>
      <c r="D14" s="486"/>
      <c r="E14" s="652">
        <v>0.38</v>
      </c>
      <c r="F14" s="652"/>
      <c r="G14" s="652"/>
      <c r="H14" s="652"/>
      <c r="I14" s="653"/>
    </row>
    <row r="15" spans="3:18" x14ac:dyDescent="0.25">
      <c r="C15" s="529" t="s">
        <v>152</v>
      </c>
      <c r="D15" s="363">
        <v>6.5000000000000002E-2</v>
      </c>
      <c r="E15" s="524"/>
      <c r="F15" s="486"/>
      <c r="G15" s="486"/>
      <c r="H15" s="486"/>
      <c r="I15" s="531"/>
    </row>
    <row r="16" spans="3:18" x14ac:dyDescent="0.25">
      <c r="C16" s="529" t="s">
        <v>283</v>
      </c>
      <c r="D16" s="486">
        <v>10500000</v>
      </c>
      <c r="E16" s="363"/>
      <c r="F16" s="486"/>
      <c r="G16" s="486"/>
      <c r="H16" s="486"/>
      <c r="I16" s="531"/>
    </row>
    <row r="17" spans="3:9" x14ac:dyDescent="0.25">
      <c r="C17" s="529" t="s">
        <v>284</v>
      </c>
      <c r="D17" s="486"/>
      <c r="E17" s="363"/>
      <c r="F17" s="486">
        <v>10500000</v>
      </c>
      <c r="G17" s="486"/>
      <c r="H17" s="486"/>
      <c r="I17" s="531"/>
    </row>
    <row r="18" spans="3:9" x14ac:dyDescent="0.25">
      <c r="C18" s="529" t="s">
        <v>285</v>
      </c>
      <c r="D18" s="524">
        <v>0.1</v>
      </c>
      <c r="E18" s="486"/>
      <c r="F18" s="486"/>
      <c r="G18" s="486"/>
      <c r="H18" s="486"/>
      <c r="I18" s="531"/>
    </row>
    <row r="19" spans="3:9" x14ac:dyDescent="0.25">
      <c r="C19" s="529" t="s">
        <v>286</v>
      </c>
      <c r="D19" s="486"/>
      <c r="E19" s="363"/>
      <c r="F19" s="486"/>
      <c r="G19" s="486"/>
      <c r="H19" s="486"/>
      <c r="I19" s="531">
        <v>2800000</v>
      </c>
    </row>
    <row r="20" spans="3:9" x14ac:dyDescent="0.25">
      <c r="C20" s="529" t="s">
        <v>287</v>
      </c>
      <c r="D20" s="486"/>
      <c r="E20" s="363"/>
      <c r="F20" s="486"/>
      <c r="G20" s="486"/>
      <c r="H20" s="486"/>
      <c r="I20" s="531">
        <v>6100000</v>
      </c>
    </row>
    <row r="21" spans="3:9" x14ac:dyDescent="0.25">
      <c r="C21" s="266" t="s">
        <v>161</v>
      </c>
      <c r="D21" s="524">
        <v>0.4</v>
      </c>
      <c r="E21" s="363"/>
      <c r="F21" s="486"/>
      <c r="G21" s="486"/>
      <c r="H21" s="486"/>
      <c r="I21" s="531"/>
    </row>
    <row r="22" spans="3:9" x14ac:dyDescent="0.25">
      <c r="C22" s="266"/>
      <c r="D22" s="486">
        <v>1.5</v>
      </c>
      <c r="E22" s="363"/>
      <c r="F22" s="486"/>
      <c r="G22" s="486"/>
      <c r="H22" s="486"/>
      <c r="I22" s="531"/>
    </row>
    <row r="23" spans="3:9" ht="16.2" x14ac:dyDescent="0.35">
      <c r="C23" s="8" t="s">
        <v>402</v>
      </c>
      <c r="D23" s="363">
        <v>0.04</v>
      </c>
      <c r="E23" s="363"/>
      <c r="F23" s="486"/>
      <c r="G23" s="486"/>
      <c r="H23" s="486"/>
      <c r="I23" s="531"/>
    </row>
    <row r="24" spans="3:9" ht="16.2" x14ac:dyDescent="0.35">
      <c r="C24" s="8" t="s">
        <v>403</v>
      </c>
      <c r="D24" s="363">
        <v>8.5300000000000001E-2</v>
      </c>
      <c r="E24" s="363"/>
      <c r="F24" s="486"/>
      <c r="G24" s="486"/>
      <c r="H24" s="486"/>
      <c r="I24" s="531"/>
    </row>
    <row r="25" spans="3:9" x14ac:dyDescent="0.25">
      <c r="C25" s="532"/>
      <c r="D25" s="533"/>
      <c r="E25" s="534"/>
      <c r="F25" s="533"/>
      <c r="G25" s="533"/>
      <c r="H25" s="533"/>
      <c r="I25" s="535"/>
    </row>
    <row r="26" spans="3:9" x14ac:dyDescent="0.25">
      <c r="E26" s="367"/>
    </row>
    <row r="28" spans="3:9" x14ac:dyDescent="0.25">
      <c r="C28" s="540" t="s">
        <v>288</v>
      </c>
      <c r="D28" s="541"/>
      <c r="E28" s="541"/>
      <c r="F28" s="541"/>
      <c r="G28" s="541"/>
      <c r="H28" s="541"/>
      <c r="I28" s="542"/>
    </row>
    <row r="29" spans="3:9" x14ac:dyDescent="0.25">
      <c r="C29" s="544" t="s">
        <v>168</v>
      </c>
      <c r="D29" s="545" t="s">
        <v>23</v>
      </c>
      <c r="E29" s="545" t="s">
        <v>0</v>
      </c>
      <c r="F29" s="545" t="s">
        <v>1</v>
      </c>
      <c r="G29" s="545" t="s">
        <v>2</v>
      </c>
      <c r="H29" s="545" t="s">
        <v>3</v>
      </c>
      <c r="I29" s="546" t="s">
        <v>38</v>
      </c>
    </row>
    <row r="30" spans="3:9" x14ac:dyDescent="0.25">
      <c r="C30" s="543" t="s">
        <v>24</v>
      </c>
      <c r="D30" s="522"/>
      <c r="E30" s="522">
        <f>+E6*$E$7</f>
        <v>7280000</v>
      </c>
      <c r="F30" s="522">
        <f>+F6*$E$7</f>
        <v>7420000</v>
      </c>
      <c r="G30" s="522">
        <f>+G6*$E$7</f>
        <v>7700000</v>
      </c>
      <c r="H30" s="522">
        <f>+H6*$E$7</f>
        <v>8120000</v>
      </c>
      <c r="I30" s="530">
        <f>+I6*$E$7</f>
        <v>7392000</v>
      </c>
    </row>
    <row r="31" spans="3:9" x14ac:dyDescent="0.25">
      <c r="C31" s="543" t="s">
        <v>291</v>
      </c>
      <c r="D31" s="522"/>
      <c r="E31" s="522">
        <f>-E10*$E$11</f>
        <v>-900000</v>
      </c>
      <c r="F31" s="522">
        <f>-F10*$E$11</f>
        <v>-900000</v>
      </c>
      <c r="G31" s="522">
        <f>-G10*$E$11</f>
        <v>-900000</v>
      </c>
      <c r="H31" s="522">
        <f>-H10*$E$11</f>
        <v>-900000</v>
      </c>
      <c r="I31" s="530">
        <f>-I10*$E$11</f>
        <v>-900000</v>
      </c>
    </row>
    <row r="32" spans="3:9" x14ac:dyDescent="0.25">
      <c r="C32" s="543" t="s">
        <v>178</v>
      </c>
      <c r="D32" s="522"/>
      <c r="E32" s="522"/>
      <c r="F32" s="522"/>
      <c r="G32" s="522"/>
      <c r="H32" s="522"/>
      <c r="I32" s="531">
        <f>+I19-(D16+E36+F36+G36+H36+I36)</f>
        <v>-200000</v>
      </c>
    </row>
    <row r="33" spans="3:9" x14ac:dyDescent="0.25">
      <c r="C33" s="543" t="s">
        <v>44</v>
      </c>
      <c r="D33" s="522"/>
      <c r="E33" s="522">
        <f>-$E$9</f>
        <v>-1700000</v>
      </c>
      <c r="F33" s="522">
        <f t="shared" ref="F33:I33" si="0">-$E$9</f>
        <v>-1700000</v>
      </c>
      <c r="G33" s="522">
        <f t="shared" si="0"/>
        <v>-1700000</v>
      </c>
      <c r="H33" s="522">
        <f t="shared" si="0"/>
        <v>-1700000</v>
      </c>
      <c r="I33" s="530">
        <f t="shared" si="0"/>
        <v>-1700000</v>
      </c>
    </row>
    <row r="34" spans="3:9" x14ac:dyDescent="0.25">
      <c r="C34" s="543" t="s">
        <v>46</v>
      </c>
      <c r="D34" s="522"/>
      <c r="E34" s="522">
        <f>-E30*$E$8</f>
        <v>-3276000</v>
      </c>
      <c r="F34" s="522">
        <f t="shared" ref="F34:I34" si="1">-F30*$E$8</f>
        <v>-3339000</v>
      </c>
      <c r="G34" s="522">
        <f t="shared" si="1"/>
        <v>-3465000</v>
      </c>
      <c r="H34" s="522">
        <f t="shared" si="1"/>
        <v>-3654000</v>
      </c>
      <c r="I34" s="530">
        <f t="shared" si="1"/>
        <v>-3326400</v>
      </c>
    </row>
    <row r="35" spans="3:9" x14ac:dyDescent="0.25">
      <c r="C35" s="543" t="s">
        <v>290</v>
      </c>
      <c r="D35" s="522"/>
      <c r="E35" s="522">
        <f>-$E$12*E31</f>
        <v>360000</v>
      </c>
      <c r="F35" s="522">
        <f t="shared" ref="F35:I35" si="2">-$E$12*F31</f>
        <v>360000</v>
      </c>
      <c r="G35" s="522">
        <f t="shared" si="2"/>
        <v>360000</v>
      </c>
      <c r="H35" s="522">
        <f t="shared" si="2"/>
        <v>360000</v>
      </c>
      <c r="I35" s="530">
        <f t="shared" si="2"/>
        <v>360000</v>
      </c>
    </row>
    <row r="36" spans="3:9" x14ac:dyDescent="0.25">
      <c r="C36" s="543" t="s">
        <v>6</v>
      </c>
      <c r="D36" s="522"/>
      <c r="E36" s="522">
        <f>-$D$16*$E$13</f>
        <v>-1500000</v>
      </c>
      <c r="F36" s="522">
        <f t="shared" ref="F36:I36" si="3">-$D$16*$E$13</f>
        <v>-1500000</v>
      </c>
      <c r="G36" s="522">
        <f t="shared" si="3"/>
        <v>-1500000</v>
      </c>
      <c r="H36" s="522">
        <f t="shared" si="3"/>
        <v>-1500000</v>
      </c>
      <c r="I36" s="530">
        <f t="shared" si="3"/>
        <v>-1500000</v>
      </c>
    </row>
    <row r="37" spans="3:9" x14ac:dyDescent="0.25">
      <c r="C37" s="543" t="s">
        <v>153</v>
      </c>
      <c r="D37" s="522"/>
      <c r="E37" s="522">
        <f>-SUM(E30:E36)*$E$14</f>
        <v>-100320</v>
      </c>
      <c r="F37" s="522">
        <f t="shared" ref="F37:I37" si="4">-SUM(F30:F36)*$E$14</f>
        <v>-129580</v>
      </c>
      <c r="G37" s="522">
        <f t="shared" si="4"/>
        <v>-188100</v>
      </c>
      <c r="H37" s="522">
        <f t="shared" si="4"/>
        <v>-275880</v>
      </c>
      <c r="I37" s="530">
        <f t="shared" si="4"/>
        <v>-47728</v>
      </c>
    </row>
    <row r="38" spans="3:9" x14ac:dyDescent="0.25">
      <c r="C38" s="547" t="s">
        <v>26</v>
      </c>
      <c r="D38" s="548"/>
      <c r="E38" s="548">
        <f>SUM(E30:E37)</f>
        <v>163680</v>
      </c>
      <c r="F38" s="548">
        <f t="shared" ref="F38:I38" si="5">SUM(F30:F37)</f>
        <v>211420</v>
      </c>
      <c r="G38" s="548">
        <f t="shared" si="5"/>
        <v>306900</v>
      </c>
      <c r="H38" s="548">
        <f t="shared" si="5"/>
        <v>450120</v>
      </c>
      <c r="I38" s="549">
        <f t="shared" si="5"/>
        <v>77872</v>
      </c>
    </row>
    <row r="39" spans="3:9" x14ac:dyDescent="0.25">
      <c r="C39" s="525"/>
      <c r="D39" s="525"/>
      <c r="E39" s="525"/>
      <c r="F39" s="525"/>
      <c r="G39" s="525"/>
      <c r="H39" s="525"/>
      <c r="I39" s="525"/>
    </row>
    <row r="40" spans="3:9" x14ac:dyDescent="0.25">
      <c r="C40" s="525"/>
      <c r="D40" s="525"/>
      <c r="E40" s="525"/>
      <c r="F40" s="525"/>
      <c r="G40" s="525"/>
      <c r="H40" s="525"/>
      <c r="I40" s="525"/>
    </row>
    <row r="41" spans="3:9" x14ac:dyDescent="0.25">
      <c r="C41" s="550" t="s">
        <v>157</v>
      </c>
      <c r="D41" s="551" t="s">
        <v>23</v>
      </c>
      <c r="E41" s="551" t="s">
        <v>0</v>
      </c>
      <c r="F41" s="551" t="s">
        <v>1</v>
      </c>
      <c r="G41" s="551" t="s">
        <v>2</v>
      </c>
      <c r="H41" s="551" t="s">
        <v>3</v>
      </c>
      <c r="I41" s="552" t="s">
        <v>38</v>
      </c>
    </row>
    <row r="42" spans="3:9" x14ac:dyDescent="0.25">
      <c r="C42" s="543" t="s">
        <v>24</v>
      </c>
      <c r="D42" s="522"/>
      <c r="E42" s="522">
        <f>+E30+E31</f>
        <v>6380000</v>
      </c>
      <c r="F42" s="522">
        <f t="shared" ref="F42:I42" si="6">+F30+F31</f>
        <v>6520000</v>
      </c>
      <c r="G42" s="522">
        <f t="shared" si="6"/>
        <v>6800000</v>
      </c>
      <c r="H42" s="522">
        <f t="shared" si="6"/>
        <v>7220000</v>
      </c>
      <c r="I42" s="530">
        <f t="shared" si="6"/>
        <v>6492000</v>
      </c>
    </row>
    <row r="43" spans="3:9" x14ac:dyDescent="0.25">
      <c r="C43" s="543" t="s">
        <v>289</v>
      </c>
      <c r="D43" s="522"/>
      <c r="E43" s="522"/>
      <c r="F43" s="522"/>
      <c r="G43" s="522"/>
      <c r="H43" s="522"/>
      <c r="I43" s="530">
        <f>+I19</f>
        <v>2800000</v>
      </c>
    </row>
    <row r="44" spans="3:9" x14ac:dyDescent="0.25">
      <c r="C44" s="543" t="s">
        <v>96</v>
      </c>
      <c r="D44" s="522"/>
      <c r="E44" s="522"/>
      <c r="F44" s="522"/>
      <c r="G44" s="522"/>
      <c r="H44" s="522"/>
      <c r="I44" s="530">
        <f>-SUM(D50:H50)</f>
        <v>649200</v>
      </c>
    </row>
    <row r="45" spans="3:9" x14ac:dyDescent="0.25">
      <c r="C45" s="543" t="s">
        <v>44</v>
      </c>
      <c r="D45" s="522"/>
      <c r="E45" s="522">
        <f>+E33</f>
        <v>-1700000</v>
      </c>
      <c r="F45" s="522">
        <f t="shared" ref="F45:I45" si="7">+F33</f>
        <v>-1700000</v>
      </c>
      <c r="G45" s="522">
        <f t="shared" si="7"/>
        <v>-1700000</v>
      </c>
      <c r="H45" s="522">
        <f t="shared" si="7"/>
        <v>-1700000</v>
      </c>
      <c r="I45" s="530">
        <f t="shared" si="7"/>
        <v>-1700000</v>
      </c>
    </row>
    <row r="46" spans="3:9" x14ac:dyDescent="0.25">
      <c r="C46" s="543" t="s">
        <v>46</v>
      </c>
      <c r="D46" s="522"/>
      <c r="E46" s="522">
        <f>+E34+E35</f>
        <v>-2916000</v>
      </c>
      <c r="F46" s="522">
        <f t="shared" ref="F46:I46" si="8">+F34+F35</f>
        <v>-2979000</v>
      </c>
      <c r="G46" s="522">
        <f t="shared" si="8"/>
        <v>-3105000</v>
      </c>
      <c r="H46" s="522">
        <f t="shared" si="8"/>
        <v>-3294000</v>
      </c>
      <c r="I46" s="530">
        <f t="shared" si="8"/>
        <v>-2966400</v>
      </c>
    </row>
    <row r="47" spans="3:9" x14ac:dyDescent="0.25">
      <c r="C47" s="543" t="s">
        <v>153</v>
      </c>
      <c r="D47" s="522"/>
      <c r="E47" s="522">
        <f>+E37</f>
        <v>-100320</v>
      </c>
      <c r="F47" s="522">
        <f t="shared" ref="F47:I47" si="9">+F37</f>
        <v>-129580</v>
      </c>
      <c r="G47" s="522">
        <f t="shared" si="9"/>
        <v>-188100</v>
      </c>
      <c r="H47" s="522">
        <f t="shared" si="9"/>
        <v>-275880</v>
      </c>
      <c r="I47" s="530">
        <f t="shared" si="9"/>
        <v>-47728</v>
      </c>
    </row>
    <row r="48" spans="3:9" x14ac:dyDescent="0.25">
      <c r="C48" s="543" t="s">
        <v>27</v>
      </c>
      <c r="D48" s="522">
        <f>SUM(D49:D50)</f>
        <v>-11138000</v>
      </c>
      <c r="E48" s="522">
        <f t="shared" ref="E48:H48" si="10">SUM(E49:E50)</f>
        <v>-14000</v>
      </c>
      <c r="F48" s="522">
        <f t="shared" si="10"/>
        <v>-28000</v>
      </c>
      <c r="G48" s="522">
        <f t="shared" si="10"/>
        <v>-42000</v>
      </c>
      <c r="H48" s="522">
        <f t="shared" si="10"/>
        <v>72800</v>
      </c>
      <c r="I48" s="530"/>
    </row>
    <row r="49" spans="3:18" x14ac:dyDescent="0.25">
      <c r="C49" s="543" t="s">
        <v>28</v>
      </c>
      <c r="D49" s="522">
        <f>-D16</f>
        <v>-10500000</v>
      </c>
      <c r="E49" s="522"/>
      <c r="F49" s="522"/>
      <c r="G49" s="522"/>
      <c r="H49" s="522"/>
      <c r="I49" s="530"/>
      <c r="K49" s="526"/>
      <c r="L49" s="527"/>
      <c r="M49" s="527"/>
      <c r="N49" s="527"/>
      <c r="O49" s="527"/>
      <c r="P49" s="527"/>
      <c r="Q49" s="527"/>
      <c r="R49" s="486"/>
    </row>
    <row r="50" spans="3:18" x14ac:dyDescent="0.25">
      <c r="C50" s="543" t="s">
        <v>29</v>
      </c>
      <c r="D50" s="522">
        <f>-(E42-D42)*$D$18</f>
        <v>-638000</v>
      </c>
      <c r="E50" s="522">
        <f t="shared" ref="E50:H50" si="11">-(F42-E42)*$D$18</f>
        <v>-14000</v>
      </c>
      <c r="F50" s="522">
        <f t="shared" si="11"/>
        <v>-28000</v>
      </c>
      <c r="G50" s="522">
        <f t="shared" si="11"/>
        <v>-42000</v>
      </c>
      <c r="H50" s="522">
        <f t="shared" si="11"/>
        <v>72800</v>
      </c>
      <c r="I50" s="530"/>
      <c r="K50" s="486"/>
      <c r="L50" s="363"/>
      <c r="M50" s="486"/>
      <c r="N50" s="486"/>
      <c r="O50" s="486"/>
      <c r="P50" s="486"/>
      <c r="Q50" s="486"/>
      <c r="R50" s="486"/>
    </row>
    <row r="51" spans="3:18" x14ac:dyDescent="0.25">
      <c r="C51" s="547" t="s">
        <v>98</v>
      </c>
      <c r="D51" s="548">
        <f>SUM(D42:D48)</f>
        <v>-11138000</v>
      </c>
      <c r="E51" s="548">
        <f>SUM(E42:E48)</f>
        <v>1649680</v>
      </c>
      <c r="F51" s="548">
        <f t="shared" ref="F51:I51" si="12">SUM(F42:F48)</f>
        <v>1683420</v>
      </c>
      <c r="G51" s="548">
        <f t="shared" si="12"/>
        <v>1764900</v>
      </c>
      <c r="H51" s="548">
        <f t="shared" si="12"/>
        <v>2022920</v>
      </c>
      <c r="I51" s="549">
        <f t="shared" si="12"/>
        <v>5227072</v>
      </c>
      <c r="K51" s="486"/>
      <c r="L51" s="486"/>
      <c r="M51" s="486"/>
      <c r="N51" s="486"/>
      <c r="O51" s="486"/>
      <c r="P51" s="486"/>
      <c r="Q51" s="486"/>
      <c r="R51" s="486"/>
    </row>
    <row r="52" spans="3:18" x14ac:dyDescent="0.25">
      <c r="K52" s="486"/>
      <c r="L52" s="363"/>
      <c r="M52" s="486"/>
      <c r="N52" s="486"/>
      <c r="O52" s="486"/>
      <c r="P52" s="486"/>
      <c r="Q52" s="486"/>
      <c r="R52" s="486"/>
    </row>
    <row r="55" spans="3:18" x14ac:dyDescent="0.25">
      <c r="C55" s="540" t="s">
        <v>292</v>
      </c>
      <c r="D55" s="541"/>
      <c r="E55" s="541"/>
      <c r="F55" s="541"/>
      <c r="G55" s="541"/>
      <c r="H55" s="541"/>
      <c r="I55" s="542"/>
    </row>
    <row r="56" spans="3:18" x14ac:dyDescent="0.25">
      <c r="C56" s="544" t="s">
        <v>168</v>
      </c>
      <c r="D56" s="545" t="s">
        <v>23</v>
      </c>
      <c r="E56" s="545" t="s">
        <v>0</v>
      </c>
      <c r="F56" s="545" t="s">
        <v>1</v>
      </c>
      <c r="G56" s="545" t="s">
        <v>2</v>
      </c>
      <c r="H56" s="545" t="s">
        <v>3</v>
      </c>
      <c r="I56" s="546" t="s">
        <v>38</v>
      </c>
    </row>
    <row r="57" spans="3:18" x14ac:dyDescent="0.25">
      <c r="C57" s="529" t="s">
        <v>24</v>
      </c>
      <c r="D57" s="522"/>
      <c r="E57" s="522">
        <f>+E6*$E$7</f>
        <v>7280000</v>
      </c>
      <c r="F57" s="522">
        <f>+F6*$E$7</f>
        <v>7420000</v>
      </c>
      <c r="G57" s="522">
        <f>+G6*$E$7</f>
        <v>7700000</v>
      </c>
      <c r="H57" s="522">
        <f>+H6*$E$7</f>
        <v>8120000</v>
      </c>
      <c r="I57" s="530">
        <f>+I6*$E$7</f>
        <v>7392000</v>
      </c>
    </row>
    <row r="58" spans="3:18" x14ac:dyDescent="0.25">
      <c r="C58" s="529" t="s">
        <v>291</v>
      </c>
      <c r="D58" s="522"/>
      <c r="E58" s="522">
        <f>-E10*$E$11</f>
        <v>-900000</v>
      </c>
      <c r="F58" s="522">
        <f>-F10*$E$11</f>
        <v>-900000</v>
      </c>
      <c r="G58" s="522">
        <f>-G10*$E$11</f>
        <v>-900000</v>
      </c>
      <c r="H58" s="522">
        <f>-H10*$E$11</f>
        <v>-900000</v>
      </c>
      <c r="I58" s="530">
        <f>-I10*$E$11</f>
        <v>-900000</v>
      </c>
    </row>
    <row r="59" spans="3:18" x14ac:dyDescent="0.25">
      <c r="C59" s="529" t="s">
        <v>178</v>
      </c>
      <c r="D59" s="522"/>
      <c r="E59" s="522"/>
      <c r="F59" s="522"/>
      <c r="G59" s="522"/>
      <c r="H59" s="522"/>
      <c r="I59" s="530">
        <f>+I20-(F17+G63+H63+I63)</f>
        <v>100000</v>
      </c>
    </row>
    <row r="60" spans="3:18" x14ac:dyDescent="0.25">
      <c r="C60" s="529" t="s">
        <v>44</v>
      </c>
      <c r="D60" s="522"/>
      <c r="E60" s="522">
        <f>-$E$9</f>
        <v>-1700000</v>
      </c>
      <c r="F60" s="522">
        <f t="shared" ref="F60:I60" si="13">-$E$9</f>
        <v>-1700000</v>
      </c>
      <c r="G60" s="522">
        <f t="shared" si="13"/>
        <v>-1700000</v>
      </c>
      <c r="H60" s="522">
        <f t="shared" si="13"/>
        <v>-1700000</v>
      </c>
      <c r="I60" s="530">
        <f t="shared" si="13"/>
        <v>-1700000</v>
      </c>
    </row>
    <row r="61" spans="3:18" x14ac:dyDescent="0.25">
      <c r="C61" s="529" t="s">
        <v>46</v>
      </c>
      <c r="D61" s="522"/>
      <c r="E61" s="522">
        <f>-E57*$E$8</f>
        <v>-3276000</v>
      </c>
      <c r="F61" s="522">
        <f t="shared" ref="F61:I61" si="14">-F57*$E$8</f>
        <v>-3339000</v>
      </c>
      <c r="G61" s="522">
        <f t="shared" si="14"/>
        <v>-3465000</v>
      </c>
      <c r="H61" s="522">
        <f t="shared" si="14"/>
        <v>-3654000</v>
      </c>
      <c r="I61" s="530">
        <f t="shared" si="14"/>
        <v>-3326400</v>
      </c>
    </row>
    <row r="62" spans="3:18" x14ac:dyDescent="0.25">
      <c r="C62" s="529" t="s">
        <v>290</v>
      </c>
      <c r="D62" s="522"/>
      <c r="E62" s="522">
        <f>-E58*$E$12</f>
        <v>360000</v>
      </c>
      <c r="F62" s="522">
        <f t="shared" ref="F62:I62" si="15">-F58*$E$12</f>
        <v>360000</v>
      </c>
      <c r="G62" s="522">
        <f t="shared" si="15"/>
        <v>360000</v>
      </c>
      <c r="H62" s="522">
        <f t="shared" si="15"/>
        <v>360000</v>
      </c>
      <c r="I62" s="530">
        <f t="shared" si="15"/>
        <v>360000</v>
      </c>
    </row>
    <row r="63" spans="3:18" x14ac:dyDescent="0.25">
      <c r="C63" s="529" t="s">
        <v>6</v>
      </c>
      <c r="D63" s="522"/>
      <c r="E63" s="522"/>
      <c r="F63" s="522"/>
      <c r="G63" s="522">
        <f>-$F$17*$E$13</f>
        <v>-1500000</v>
      </c>
      <c r="H63" s="522">
        <f t="shared" ref="H63:I63" si="16">-$F$17*$E$13</f>
        <v>-1500000</v>
      </c>
      <c r="I63" s="530">
        <f t="shared" si="16"/>
        <v>-1500000</v>
      </c>
    </row>
    <row r="64" spans="3:18" x14ac:dyDescent="0.25">
      <c r="C64" s="529" t="s">
        <v>153</v>
      </c>
      <c r="D64" s="522"/>
      <c r="E64" s="522">
        <f>-SUM(E57:E63)*$E$14</f>
        <v>-670320</v>
      </c>
      <c r="F64" s="522">
        <f t="shared" ref="F64:I64" si="17">-SUM(F57:F63)*$E$14</f>
        <v>-699580</v>
      </c>
      <c r="G64" s="522">
        <f t="shared" si="17"/>
        <v>-188100</v>
      </c>
      <c r="H64" s="522">
        <f t="shared" si="17"/>
        <v>-275880</v>
      </c>
      <c r="I64" s="530">
        <f t="shared" si="17"/>
        <v>-161728</v>
      </c>
    </row>
    <row r="65" spans="3:9" x14ac:dyDescent="0.25">
      <c r="C65" s="553" t="s">
        <v>26</v>
      </c>
      <c r="D65" s="548"/>
      <c r="E65" s="548">
        <f>SUM(E57:E64)</f>
        <v>1093680</v>
      </c>
      <c r="F65" s="548">
        <f t="shared" ref="F65:I65" si="18">SUM(F57:F64)</f>
        <v>1141420</v>
      </c>
      <c r="G65" s="548">
        <f t="shared" si="18"/>
        <v>306900</v>
      </c>
      <c r="H65" s="548">
        <f t="shared" si="18"/>
        <v>450120</v>
      </c>
      <c r="I65" s="549">
        <f t="shared" si="18"/>
        <v>263872</v>
      </c>
    </row>
    <row r="66" spans="3:9" x14ac:dyDescent="0.25">
      <c r="D66" s="525"/>
      <c r="E66" s="525"/>
      <c r="F66" s="525"/>
      <c r="G66" s="525"/>
      <c r="H66" s="525"/>
      <c r="I66" s="525"/>
    </row>
    <row r="67" spans="3:9" x14ac:dyDescent="0.25">
      <c r="D67" s="525"/>
      <c r="E67" s="525"/>
      <c r="F67" s="525"/>
      <c r="G67" s="525"/>
      <c r="H67" s="525"/>
      <c r="I67" s="525"/>
    </row>
    <row r="68" spans="3:9" x14ac:dyDescent="0.25">
      <c r="C68" s="143" t="s">
        <v>157</v>
      </c>
      <c r="D68" s="551" t="s">
        <v>23</v>
      </c>
      <c r="E68" s="551" t="s">
        <v>0</v>
      </c>
      <c r="F68" s="551" t="s">
        <v>1</v>
      </c>
      <c r="G68" s="551" t="s">
        <v>2</v>
      </c>
      <c r="H68" s="551" t="s">
        <v>3</v>
      </c>
      <c r="I68" s="552" t="s">
        <v>38</v>
      </c>
    </row>
    <row r="69" spans="3:9" x14ac:dyDescent="0.25">
      <c r="C69" s="529" t="s">
        <v>9</v>
      </c>
      <c r="D69" s="522"/>
      <c r="E69" s="522">
        <f>+E65</f>
        <v>1093680</v>
      </c>
      <c r="F69" s="522">
        <f t="shared" ref="F69:I69" si="19">+F65</f>
        <v>1141420</v>
      </c>
      <c r="G69" s="522">
        <f t="shared" si="19"/>
        <v>306900</v>
      </c>
      <c r="H69" s="522">
        <f t="shared" si="19"/>
        <v>450120</v>
      </c>
      <c r="I69" s="530">
        <f t="shared" si="19"/>
        <v>263872</v>
      </c>
    </row>
    <row r="70" spans="3:9" x14ac:dyDescent="0.25">
      <c r="C70" s="529" t="s">
        <v>179</v>
      </c>
      <c r="D70" s="522"/>
      <c r="E70" s="522">
        <f>-E63</f>
        <v>0</v>
      </c>
      <c r="F70" s="522">
        <f t="shared" ref="F70:I70" si="20">-F63</f>
        <v>0</v>
      </c>
      <c r="G70" s="522">
        <f t="shared" si="20"/>
        <v>1500000</v>
      </c>
      <c r="H70" s="522">
        <f t="shared" si="20"/>
        <v>1500000</v>
      </c>
      <c r="I70" s="530">
        <f t="shared" si="20"/>
        <v>1500000</v>
      </c>
    </row>
    <row r="71" spans="3:9" x14ac:dyDescent="0.25">
      <c r="C71" s="529" t="s">
        <v>96</v>
      </c>
      <c r="D71" s="522"/>
      <c r="E71" s="522"/>
      <c r="F71" s="522"/>
      <c r="G71" s="522"/>
      <c r="H71" s="522"/>
      <c r="I71" s="530">
        <f>-SUM(D75:H75)</f>
        <v>649200</v>
      </c>
    </row>
    <row r="72" spans="3:9" x14ac:dyDescent="0.25">
      <c r="C72" s="529" t="s">
        <v>294</v>
      </c>
      <c r="D72" s="522"/>
      <c r="E72" s="522"/>
      <c r="F72" s="522"/>
      <c r="G72" s="522"/>
      <c r="H72" s="522"/>
      <c r="I72" s="530">
        <f>+F17+G63+H63+I63</f>
        <v>6000000</v>
      </c>
    </row>
    <row r="73" spans="3:9" x14ac:dyDescent="0.25">
      <c r="C73" s="529" t="s">
        <v>27</v>
      </c>
      <c r="D73" s="522">
        <f>SUM(D74:D75)</f>
        <v>-638000</v>
      </c>
      <c r="E73" s="522">
        <f t="shared" ref="E73:H73" si="21">SUM(E74:E75)</f>
        <v>-14000</v>
      </c>
      <c r="F73" s="522">
        <f t="shared" si="21"/>
        <v>-10528000</v>
      </c>
      <c r="G73" s="522">
        <f t="shared" si="21"/>
        <v>-42000</v>
      </c>
      <c r="H73" s="522">
        <f t="shared" si="21"/>
        <v>72800</v>
      </c>
      <c r="I73" s="530"/>
    </row>
    <row r="74" spans="3:9" x14ac:dyDescent="0.25">
      <c r="C74" s="529" t="s">
        <v>28</v>
      </c>
      <c r="D74" s="522"/>
      <c r="E74" s="522"/>
      <c r="F74" s="522">
        <f>-F17</f>
        <v>-10500000</v>
      </c>
      <c r="G74" s="522"/>
      <c r="H74" s="522"/>
      <c r="I74" s="530"/>
    </row>
    <row r="75" spans="3:9" x14ac:dyDescent="0.25">
      <c r="C75" s="529" t="s">
        <v>29</v>
      </c>
      <c r="D75" s="522">
        <f>-((E57-D57)+(E58-D58))*$D$18</f>
        <v>-638000</v>
      </c>
      <c r="E75" s="522">
        <f t="shared" ref="E75:H75" si="22">-((F57-E57)+(F58-E58))*$D$18</f>
        <v>-14000</v>
      </c>
      <c r="F75" s="522">
        <f t="shared" si="22"/>
        <v>-28000</v>
      </c>
      <c r="G75" s="522">
        <f t="shared" si="22"/>
        <v>-42000</v>
      </c>
      <c r="H75" s="522">
        <f t="shared" si="22"/>
        <v>72800</v>
      </c>
      <c r="I75" s="530"/>
    </row>
    <row r="76" spans="3:9" x14ac:dyDescent="0.25">
      <c r="C76" s="553" t="s">
        <v>98</v>
      </c>
      <c r="D76" s="548">
        <f>SUM(D69:D73)</f>
        <v>-638000</v>
      </c>
      <c r="E76" s="548">
        <f>SUM(E69:E73)</f>
        <v>1079680</v>
      </c>
      <c r="F76" s="548">
        <f t="shared" ref="F76:H76" si="23">SUM(F69:F73)</f>
        <v>-9386580</v>
      </c>
      <c r="G76" s="548">
        <f t="shared" si="23"/>
        <v>1764900</v>
      </c>
      <c r="H76" s="548">
        <f t="shared" si="23"/>
        <v>2022920</v>
      </c>
      <c r="I76" s="549">
        <f>SUM(I69:I73)</f>
        <v>8413072</v>
      </c>
    </row>
    <row r="77" spans="3:9" x14ac:dyDescent="0.25">
      <c r="C77" s="526"/>
      <c r="D77" s="528"/>
      <c r="E77" s="528"/>
      <c r="F77" s="528"/>
      <c r="G77" s="528"/>
      <c r="H77" s="528"/>
      <c r="I77" s="528"/>
    </row>
    <row r="78" spans="3:9" x14ac:dyDescent="0.25">
      <c r="C78" s="526"/>
      <c r="D78" s="528"/>
      <c r="E78" s="528"/>
      <c r="F78" s="528"/>
      <c r="G78" s="528"/>
      <c r="H78" s="528"/>
      <c r="I78" s="528"/>
    </row>
    <row r="79" spans="3:9" x14ac:dyDescent="0.25">
      <c r="C79" s="245" t="s">
        <v>167</v>
      </c>
      <c r="D79" s="246" t="s">
        <v>33</v>
      </c>
      <c r="E79" s="246" t="s">
        <v>34</v>
      </c>
      <c r="F79" s="246" t="s">
        <v>35</v>
      </c>
      <c r="G79" s="247" t="s">
        <v>21</v>
      </c>
      <c r="H79" s="528"/>
      <c r="I79" s="528"/>
    </row>
    <row r="80" spans="3:9" x14ac:dyDescent="0.25">
      <c r="C80" s="20"/>
      <c r="D80" s="249">
        <v>1.5</v>
      </c>
      <c r="E80" s="249">
        <v>1.83</v>
      </c>
      <c r="F80" s="249">
        <v>3.25</v>
      </c>
      <c r="G80" s="250">
        <v>2.9</v>
      </c>
      <c r="H80" s="528"/>
      <c r="I80" s="528"/>
    </row>
    <row r="81" spans="3:9" x14ac:dyDescent="0.25">
      <c r="C81" s="20" t="s">
        <v>19</v>
      </c>
      <c r="D81" s="249">
        <v>0.75</v>
      </c>
      <c r="E81" s="249">
        <v>1.45</v>
      </c>
      <c r="F81" s="249">
        <v>2.2000000000000002</v>
      </c>
      <c r="G81" s="250">
        <v>1.98</v>
      </c>
      <c r="H81" s="528"/>
      <c r="I81" s="528"/>
    </row>
    <row r="82" spans="3:9" x14ac:dyDescent="0.25">
      <c r="C82" s="27" t="s">
        <v>45</v>
      </c>
      <c r="D82" s="15">
        <v>0.3</v>
      </c>
      <c r="E82" s="15">
        <v>0.3</v>
      </c>
      <c r="F82" s="15">
        <v>0.3</v>
      </c>
      <c r="G82" s="28">
        <v>0.3</v>
      </c>
      <c r="H82" s="528"/>
      <c r="I82" s="528"/>
    </row>
    <row r="83" spans="3:9" x14ac:dyDescent="0.25">
      <c r="C83" s="7"/>
      <c r="D83" s="7"/>
      <c r="E83" s="7"/>
      <c r="F83" s="7"/>
      <c r="G83" s="86"/>
      <c r="H83" s="528"/>
      <c r="I83" s="528"/>
    </row>
    <row r="84" spans="3:9" x14ac:dyDescent="0.25">
      <c r="C84" s="556"/>
      <c r="D84" s="40">
        <f>+(1/(1+(D81*(1-D82)))*D80)</f>
        <v>0.98360655737704927</v>
      </c>
      <c r="E84" s="40">
        <f t="shared" ref="E84:G84" si="24">+(1/(1+(E81*(1-E82)))*E80)</f>
        <v>0.90818858560794058</v>
      </c>
      <c r="F84" s="40">
        <f t="shared" si="24"/>
        <v>1.2795275590551181</v>
      </c>
      <c r="G84" s="557">
        <f t="shared" si="24"/>
        <v>1.2154233025984911</v>
      </c>
      <c r="H84" s="528"/>
      <c r="I84" s="528"/>
    </row>
    <row r="85" spans="3:9" x14ac:dyDescent="0.25">
      <c r="C85" s="554" t="s">
        <v>160</v>
      </c>
      <c r="D85" s="455"/>
      <c r="E85" s="455"/>
      <c r="F85" s="173"/>
      <c r="G85" s="555">
        <f>AVERAGE(D84:G84)</f>
        <v>1.0966865011596498</v>
      </c>
      <c r="H85" s="528"/>
      <c r="I85" s="528"/>
    </row>
    <row r="86" spans="3:9" x14ac:dyDescent="0.25">
      <c r="H86" s="528"/>
      <c r="I86" s="528"/>
    </row>
    <row r="87" spans="3:9" x14ac:dyDescent="0.25">
      <c r="C87" s="30"/>
      <c r="D87" s="247" t="s">
        <v>293</v>
      </c>
      <c r="H87" s="528"/>
      <c r="I87" s="528"/>
    </row>
    <row r="88" spans="3:9" x14ac:dyDescent="0.25">
      <c r="C88" s="24"/>
      <c r="D88" s="26">
        <v>1.5</v>
      </c>
      <c r="H88" s="528"/>
      <c r="I88" s="528"/>
    </row>
    <row r="89" spans="3:9" x14ac:dyDescent="0.25">
      <c r="C89" s="249"/>
      <c r="D89" s="249"/>
      <c r="H89" s="528"/>
      <c r="I89" s="528"/>
    </row>
    <row r="90" spans="3:9" x14ac:dyDescent="0.25">
      <c r="C90" s="30"/>
      <c r="D90" s="247" t="s">
        <v>36</v>
      </c>
      <c r="H90" s="528"/>
      <c r="I90" s="528"/>
    </row>
    <row r="91" spans="3:9" x14ac:dyDescent="0.25">
      <c r="C91" s="20" t="s">
        <v>161</v>
      </c>
      <c r="D91" s="338">
        <f>+D21</f>
        <v>0.4</v>
      </c>
      <c r="H91" s="528"/>
      <c r="I91" s="528"/>
    </row>
    <row r="92" spans="3:9" x14ac:dyDescent="0.25">
      <c r="C92" s="20" t="s">
        <v>164</v>
      </c>
      <c r="D92" s="338">
        <f>+(1-D91)</f>
        <v>0.6</v>
      </c>
      <c r="H92" s="528"/>
      <c r="I92" s="528"/>
    </row>
    <row r="93" spans="3:9" x14ac:dyDescent="0.25">
      <c r="C93" s="20" t="s">
        <v>19</v>
      </c>
      <c r="D93" s="341">
        <f>+D91/D92</f>
        <v>0.66666666666666674</v>
      </c>
      <c r="H93" s="528"/>
      <c r="I93" s="528"/>
    </row>
    <row r="94" spans="3:9" ht="16.2" x14ac:dyDescent="0.35">
      <c r="C94" s="599" t="s">
        <v>404</v>
      </c>
      <c r="D94" s="600">
        <f>+G85*(1+D93*(1-E14))</f>
        <v>1.5499835883056383</v>
      </c>
      <c r="H94" s="528"/>
      <c r="I94" s="528"/>
    </row>
    <row r="95" spans="3:9" ht="9.6" customHeight="1" x14ac:dyDescent="0.25">
      <c r="H95" s="528"/>
      <c r="I95" s="528"/>
    </row>
    <row r="96" spans="3:9" x14ac:dyDescent="0.25">
      <c r="C96" s="38" t="s">
        <v>381</v>
      </c>
      <c r="D96" s="558">
        <f>+D23+G85*D24</f>
        <v>0.13354735854891814</v>
      </c>
      <c r="H96" s="528"/>
      <c r="I96" s="528"/>
    </row>
    <row r="97" spans="3:9" ht="16.2" x14ac:dyDescent="0.35">
      <c r="C97" s="259" t="s">
        <v>408</v>
      </c>
      <c r="D97" s="492">
        <f>+D23+D94*D24</f>
        <v>0.17221360008247097</v>
      </c>
      <c r="H97" s="528"/>
      <c r="I97" s="528"/>
    </row>
    <row r="98" spans="3:9" ht="16.2" x14ac:dyDescent="0.35">
      <c r="C98" s="42" t="s">
        <v>409</v>
      </c>
      <c r="D98" s="493">
        <f>+D91*D15*(1-E14)+D92*D97</f>
        <v>0.11944816004948258</v>
      </c>
      <c r="H98" s="528"/>
      <c r="I98" s="528"/>
    </row>
    <row r="99" spans="3:9" x14ac:dyDescent="0.25">
      <c r="C99" s="526"/>
      <c r="D99" s="528"/>
      <c r="E99" s="528"/>
      <c r="F99" s="528"/>
      <c r="G99" s="528"/>
      <c r="H99" s="528"/>
      <c r="I99" s="528"/>
    </row>
    <row r="100" spans="3:9" x14ac:dyDescent="0.25">
      <c r="C100" s="348" t="s">
        <v>333</v>
      </c>
      <c r="D100" s="560"/>
      <c r="E100" s="528"/>
      <c r="F100" s="528"/>
      <c r="G100" s="528"/>
      <c r="H100" s="528"/>
      <c r="I100" s="528"/>
    </row>
    <row r="101" spans="3:9" x14ac:dyDescent="0.25">
      <c r="C101" s="561" t="s">
        <v>332</v>
      </c>
      <c r="D101" s="559">
        <f>+D51+NPV(D98,E51:I51)</f>
        <v>-2801492.279529931</v>
      </c>
      <c r="E101" s="528"/>
      <c r="F101" s="528"/>
      <c r="G101" s="528"/>
      <c r="H101" s="528"/>
      <c r="I101" s="522"/>
    </row>
    <row r="102" spans="3:9" x14ac:dyDescent="0.25">
      <c r="E102" s="528"/>
      <c r="F102" s="528"/>
      <c r="G102" s="528"/>
      <c r="H102" s="528"/>
      <c r="I102" s="528"/>
    </row>
    <row r="103" spans="3:9" x14ac:dyDescent="0.25">
      <c r="C103" s="143" t="s">
        <v>334</v>
      </c>
      <c r="D103" s="157"/>
    </row>
    <row r="104" spans="3:9" x14ac:dyDescent="0.25">
      <c r="C104" s="561" t="s">
        <v>332</v>
      </c>
      <c r="D104" s="535">
        <f>+D76+NPV(D98,E76:I76)</f>
        <v>167971.5208560779</v>
      </c>
    </row>
    <row r="106" spans="3:9" x14ac:dyDescent="0.25">
      <c r="C106" s="608" t="s">
        <v>495</v>
      </c>
    </row>
  </sheetData>
  <sheetProtection algorithmName="SHA-512" hashValue="r9usrk+fme5Y8+he0lho+Q58x/k5StSdZJGY37ALYrqUBD+UTRDpkvmwrL1XqZxRR3ggsdriogXaNVZXYDSy4Q==" saltValue="bzavskf/iRyRYAxU+ekXlg==" spinCount="100000" sheet="1" objects="1" scenarios="1"/>
  <mergeCells count="9">
    <mergeCell ref="C1:I1"/>
    <mergeCell ref="C3:I4"/>
    <mergeCell ref="E14:I14"/>
    <mergeCell ref="E7:I7"/>
    <mergeCell ref="E8:I8"/>
    <mergeCell ref="E9:I9"/>
    <mergeCell ref="E11:I11"/>
    <mergeCell ref="E12:I12"/>
    <mergeCell ref="E13:I13"/>
  </mergeCells>
  <phoneticPr fontId="1" type="noConversion"/>
  <pageMargins left="0.7" right="0.7" top="0.75" bottom="0.75" header="0.3" footer="0.3"/>
  <pageSetup orientation="portrait" horizontalDpi="360" verticalDpi="36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C1:AH110"/>
  <sheetViews>
    <sheetView topLeftCell="A94" zoomScaleNormal="100" workbookViewId="0">
      <selection activeCell="L68" sqref="L68"/>
    </sheetView>
  </sheetViews>
  <sheetFormatPr baseColWidth="10" defaultRowHeight="13.8" x14ac:dyDescent="0.25"/>
  <cols>
    <col min="1" max="1" width="15" style="86" customWidth="1"/>
    <col min="2" max="2" width="11.44140625" style="86"/>
    <col min="3" max="3" width="30.88671875" style="86" bestFit="1" customWidth="1"/>
    <col min="4" max="4" width="12.33203125" style="86" bestFit="1" customWidth="1"/>
    <col min="5" max="5" width="16.33203125" style="86" bestFit="1" customWidth="1"/>
    <col min="6" max="6" width="11.6640625" style="176" bestFit="1" customWidth="1"/>
    <col min="7" max="7" width="15.33203125" style="86" bestFit="1" customWidth="1"/>
    <col min="8" max="8" width="12.33203125" style="86" bestFit="1" customWidth="1"/>
    <col min="9" max="9" width="11.109375" style="86" customWidth="1"/>
    <col min="10" max="11" width="9.44140625" style="86" bestFit="1" customWidth="1"/>
    <col min="12" max="12" width="12.6640625" style="86" bestFit="1" customWidth="1"/>
    <col min="13" max="13" width="10.6640625" style="86" customWidth="1"/>
    <col min="14" max="14" width="11" style="86" customWidth="1"/>
    <col min="15" max="15" width="16.44140625" style="86" customWidth="1"/>
    <col min="16" max="17" width="12.33203125" style="86" customWidth="1"/>
    <col min="18" max="22" width="12.44140625" style="86" bestFit="1" customWidth="1"/>
    <col min="23" max="33" width="11.44140625" style="86"/>
    <col min="34" max="34" width="11.6640625" style="86" bestFit="1" customWidth="1"/>
    <col min="35" max="258" width="11.44140625" style="86"/>
    <col min="259" max="259" width="22.6640625" style="86" customWidth="1"/>
    <col min="260" max="260" width="12.33203125" style="86" bestFit="1" customWidth="1"/>
    <col min="261" max="261" width="11.44140625" style="86"/>
    <col min="262" max="262" width="11.88671875" style="86" customWidth="1"/>
    <col min="263" max="263" width="12" style="86" customWidth="1"/>
    <col min="264" max="267" width="11.44140625" style="86"/>
    <col min="268" max="268" width="11.6640625" style="86" bestFit="1" customWidth="1"/>
    <col min="269" max="270" width="11.44140625" style="86"/>
    <col min="271" max="271" width="16.44140625" style="86" customWidth="1"/>
    <col min="272" max="514" width="11.44140625" style="86"/>
    <col min="515" max="515" width="22.6640625" style="86" customWidth="1"/>
    <col min="516" max="516" width="12.33203125" style="86" bestFit="1" customWidth="1"/>
    <col min="517" max="517" width="11.44140625" style="86"/>
    <col min="518" max="518" width="11.88671875" style="86" customWidth="1"/>
    <col min="519" max="519" width="12" style="86" customWidth="1"/>
    <col min="520" max="523" width="11.44140625" style="86"/>
    <col min="524" max="524" width="11.6640625" style="86" bestFit="1" customWidth="1"/>
    <col min="525" max="526" width="11.44140625" style="86"/>
    <col min="527" max="527" width="16.44140625" style="86" customWidth="1"/>
    <col min="528" max="770" width="11.44140625" style="86"/>
    <col min="771" max="771" width="22.6640625" style="86" customWidth="1"/>
    <col min="772" max="772" width="12.33203125" style="86" bestFit="1" customWidth="1"/>
    <col min="773" max="773" width="11.44140625" style="86"/>
    <col min="774" max="774" width="11.88671875" style="86" customWidth="1"/>
    <col min="775" max="775" width="12" style="86" customWidth="1"/>
    <col min="776" max="779" width="11.44140625" style="86"/>
    <col min="780" max="780" width="11.6640625" style="86" bestFit="1" customWidth="1"/>
    <col min="781" max="782" width="11.44140625" style="86"/>
    <col min="783" max="783" width="16.44140625" style="86" customWidth="1"/>
    <col min="784" max="1026" width="11.44140625" style="86"/>
    <col min="1027" max="1027" width="22.6640625" style="86" customWidth="1"/>
    <col min="1028" max="1028" width="12.33203125" style="86" bestFit="1" customWidth="1"/>
    <col min="1029" max="1029" width="11.44140625" style="86"/>
    <col min="1030" max="1030" width="11.88671875" style="86" customWidth="1"/>
    <col min="1031" max="1031" width="12" style="86" customWidth="1"/>
    <col min="1032" max="1035" width="11.44140625" style="86"/>
    <col min="1036" max="1036" width="11.6640625" style="86" bestFit="1" customWidth="1"/>
    <col min="1037" max="1038" width="11.44140625" style="86"/>
    <col min="1039" max="1039" width="16.44140625" style="86" customWidth="1"/>
    <col min="1040" max="1282" width="11.44140625" style="86"/>
    <col min="1283" max="1283" width="22.6640625" style="86" customWidth="1"/>
    <col min="1284" max="1284" width="12.33203125" style="86" bestFit="1" customWidth="1"/>
    <col min="1285" max="1285" width="11.44140625" style="86"/>
    <col min="1286" max="1286" width="11.88671875" style="86" customWidth="1"/>
    <col min="1287" max="1287" width="12" style="86" customWidth="1"/>
    <col min="1288" max="1291" width="11.44140625" style="86"/>
    <col min="1292" max="1292" width="11.6640625" style="86" bestFit="1" customWidth="1"/>
    <col min="1293" max="1294" width="11.44140625" style="86"/>
    <col min="1295" max="1295" width="16.44140625" style="86" customWidth="1"/>
    <col min="1296" max="1538" width="11.44140625" style="86"/>
    <col min="1539" max="1539" width="22.6640625" style="86" customWidth="1"/>
    <col min="1540" max="1540" width="12.33203125" style="86" bestFit="1" customWidth="1"/>
    <col min="1541" max="1541" width="11.44140625" style="86"/>
    <col min="1542" max="1542" width="11.88671875" style="86" customWidth="1"/>
    <col min="1543" max="1543" width="12" style="86" customWidth="1"/>
    <col min="1544" max="1547" width="11.44140625" style="86"/>
    <col min="1548" max="1548" width="11.6640625" style="86" bestFit="1" customWidth="1"/>
    <col min="1549" max="1550" width="11.44140625" style="86"/>
    <col min="1551" max="1551" width="16.44140625" style="86" customWidth="1"/>
    <col min="1552" max="1794" width="11.44140625" style="86"/>
    <col min="1795" max="1795" width="22.6640625" style="86" customWidth="1"/>
    <col min="1796" max="1796" width="12.33203125" style="86" bestFit="1" customWidth="1"/>
    <col min="1797" max="1797" width="11.44140625" style="86"/>
    <col min="1798" max="1798" width="11.88671875" style="86" customWidth="1"/>
    <col min="1799" max="1799" width="12" style="86" customWidth="1"/>
    <col min="1800" max="1803" width="11.44140625" style="86"/>
    <col min="1804" max="1804" width="11.6640625" style="86" bestFit="1" customWidth="1"/>
    <col min="1805" max="1806" width="11.44140625" style="86"/>
    <col min="1807" max="1807" width="16.44140625" style="86" customWidth="1"/>
    <col min="1808" max="2050" width="11.44140625" style="86"/>
    <col min="2051" max="2051" width="22.6640625" style="86" customWidth="1"/>
    <col min="2052" max="2052" width="12.33203125" style="86" bestFit="1" customWidth="1"/>
    <col min="2053" max="2053" width="11.44140625" style="86"/>
    <col min="2054" max="2054" width="11.88671875" style="86" customWidth="1"/>
    <col min="2055" max="2055" width="12" style="86" customWidth="1"/>
    <col min="2056" max="2059" width="11.44140625" style="86"/>
    <col min="2060" max="2060" width="11.6640625" style="86" bestFit="1" customWidth="1"/>
    <col min="2061" max="2062" width="11.44140625" style="86"/>
    <col min="2063" max="2063" width="16.44140625" style="86" customWidth="1"/>
    <col min="2064" max="2306" width="11.44140625" style="86"/>
    <col min="2307" max="2307" width="22.6640625" style="86" customWidth="1"/>
    <col min="2308" max="2308" width="12.33203125" style="86" bestFit="1" customWidth="1"/>
    <col min="2309" max="2309" width="11.44140625" style="86"/>
    <col min="2310" max="2310" width="11.88671875" style="86" customWidth="1"/>
    <col min="2311" max="2311" width="12" style="86" customWidth="1"/>
    <col min="2312" max="2315" width="11.44140625" style="86"/>
    <col min="2316" max="2316" width="11.6640625" style="86" bestFit="1" customWidth="1"/>
    <col min="2317" max="2318" width="11.44140625" style="86"/>
    <col min="2319" max="2319" width="16.44140625" style="86" customWidth="1"/>
    <col min="2320" max="2562" width="11.44140625" style="86"/>
    <col min="2563" max="2563" width="22.6640625" style="86" customWidth="1"/>
    <col min="2564" max="2564" width="12.33203125" style="86" bestFit="1" customWidth="1"/>
    <col min="2565" max="2565" width="11.44140625" style="86"/>
    <col min="2566" max="2566" width="11.88671875" style="86" customWidth="1"/>
    <col min="2567" max="2567" width="12" style="86" customWidth="1"/>
    <col min="2568" max="2571" width="11.44140625" style="86"/>
    <col min="2572" max="2572" width="11.6640625" style="86" bestFit="1" customWidth="1"/>
    <col min="2573" max="2574" width="11.44140625" style="86"/>
    <col min="2575" max="2575" width="16.44140625" style="86" customWidth="1"/>
    <col min="2576" max="2818" width="11.44140625" style="86"/>
    <col min="2819" max="2819" width="22.6640625" style="86" customWidth="1"/>
    <col min="2820" max="2820" width="12.33203125" style="86" bestFit="1" customWidth="1"/>
    <col min="2821" max="2821" width="11.44140625" style="86"/>
    <col min="2822" max="2822" width="11.88671875" style="86" customWidth="1"/>
    <col min="2823" max="2823" width="12" style="86" customWidth="1"/>
    <col min="2824" max="2827" width="11.44140625" style="86"/>
    <col min="2828" max="2828" width="11.6640625" style="86" bestFit="1" customWidth="1"/>
    <col min="2829" max="2830" width="11.44140625" style="86"/>
    <col min="2831" max="2831" width="16.44140625" style="86" customWidth="1"/>
    <col min="2832" max="3074" width="11.44140625" style="86"/>
    <col min="3075" max="3075" width="22.6640625" style="86" customWidth="1"/>
    <col min="3076" max="3076" width="12.33203125" style="86" bestFit="1" customWidth="1"/>
    <col min="3077" max="3077" width="11.44140625" style="86"/>
    <col min="3078" max="3078" width="11.88671875" style="86" customWidth="1"/>
    <col min="3079" max="3079" width="12" style="86" customWidth="1"/>
    <col min="3080" max="3083" width="11.44140625" style="86"/>
    <col min="3084" max="3084" width="11.6640625" style="86" bestFit="1" customWidth="1"/>
    <col min="3085" max="3086" width="11.44140625" style="86"/>
    <col min="3087" max="3087" width="16.44140625" style="86" customWidth="1"/>
    <col min="3088" max="3330" width="11.44140625" style="86"/>
    <col min="3331" max="3331" width="22.6640625" style="86" customWidth="1"/>
    <col min="3332" max="3332" width="12.33203125" style="86" bestFit="1" customWidth="1"/>
    <col min="3333" max="3333" width="11.44140625" style="86"/>
    <col min="3334" max="3334" width="11.88671875" style="86" customWidth="1"/>
    <col min="3335" max="3335" width="12" style="86" customWidth="1"/>
    <col min="3336" max="3339" width="11.44140625" style="86"/>
    <col min="3340" max="3340" width="11.6640625" style="86" bestFit="1" customWidth="1"/>
    <col min="3341" max="3342" width="11.44140625" style="86"/>
    <col min="3343" max="3343" width="16.44140625" style="86" customWidth="1"/>
    <col min="3344" max="3586" width="11.44140625" style="86"/>
    <col min="3587" max="3587" width="22.6640625" style="86" customWidth="1"/>
    <col min="3588" max="3588" width="12.33203125" style="86" bestFit="1" customWidth="1"/>
    <col min="3589" max="3589" width="11.44140625" style="86"/>
    <col min="3590" max="3590" width="11.88671875" style="86" customWidth="1"/>
    <col min="3591" max="3591" width="12" style="86" customWidth="1"/>
    <col min="3592" max="3595" width="11.44140625" style="86"/>
    <col min="3596" max="3596" width="11.6640625" style="86" bestFit="1" customWidth="1"/>
    <col min="3597" max="3598" width="11.44140625" style="86"/>
    <col min="3599" max="3599" width="16.44140625" style="86" customWidth="1"/>
    <col min="3600" max="3842" width="11.44140625" style="86"/>
    <col min="3843" max="3843" width="22.6640625" style="86" customWidth="1"/>
    <col min="3844" max="3844" width="12.33203125" style="86" bestFit="1" customWidth="1"/>
    <col min="3845" max="3845" width="11.44140625" style="86"/>
    <col min="3846" max="3846" width="11.88671875" style="86" customWidth="1"/>
    <col min="3847" max="3847" width="12" style="86" customWidth="1"/>
    <col min="3848" max="3851" width="11.44140625" style="86"/>
    <col min="3852" max="3852" width="11.6640625" style="86" bestFit="1" customWidth="1"/>
    <col min="3853" max="3854" width="11.44140625" style="86"/>
    <col min="3855" max="3855" width="16.44140625" style="86" customWidth="1"/>
    <col min="3856" max="4098" width="11.44140625" style="86"/>
    <col min="4099" max="4099" width="22.6640625" style="86" customWidth="1"/>
    <col min="4100" max="4100" width="12.33203125" style="86" bestFit="1" customWidth="1"/>
    <col min="4101" max="4101" width="11.44140625" style="86"/>
    <col min="4102" max="4102" width="11.88671875" style="86" customWidth="1"/>
    <col min="4103" max="4103" width="12" style="86" customWidth="1"/>
    <col min="4104" max="4107" width="11.44140625" style="86"/>
    <col min="4108" max="4108" width="11.6640625" style="86" bestFit="1" customWidth="1"/>
    <col min="4109" max="4110" width="11.44140625" style="86"/>
    <col min="4111" max="4111" width="16.44140625" style="86" customWidth="1"/>
    <col min="4112" max="4354" width="11.44140625" style="86"/>
    <col min="4355" max="4355" width="22.6640625" style="86" customWidth="1"/>
    <col min="4356" max="4356" width="12.33203125" style="86" bestFit="1" customWidth="1"/>
    <col min="4357" max="4357" width="11.44140625" style="86"/>
    <col min="4358" max="4358" width="11.88671875" style="86" customWidth="1"/>
    <col min="4359" max="4359" width="12" style="86" customWidth="1"/>
    <col min="4360" max="4363" width="11.44140625" style="86"/>
    <col min="4364" max="4364" width="11.6640625" style="86" bestFit="1" customWidth="1"/>
    <col min="4365" max="4366" width="11.44140625" style="86"/>
    <col min="4367" max="4367" width="16.44140625" style="86" customWidth="1"/>
    <col min="4368" max="4610" width="11.44140625" style="86"/>
    <col min="4611" max="4611" width="22.6640625" style="86" customWidth="1"/>
    <col min="4612" max="4612" width="12.33203125" style="86" bestFit="1" customWidth="1"/>
    <col min="4613" max="4613" width="11.44140625" style="86"/>
    <col min="4614" max="4614" width="11.88671875" style="86" customWidth="1"/>
    <col min="4615" max="4615" width="12" style="86" customWidth="1"/>
    <col min="4616" max="4619" width="11.44140625" style="86"/>
    <col min="4620" max="4620" width="11.6640625" style="86" bestFit="1" customWidth="1"/>
    <col min="4621" max="4622" width="11.44140625" style="86"/>
    <col min="4623" max="4623" width="16.44140625" style="86" customWidth="1"/>
    <col min="4624" max="4866" width="11.44140625" style="86"/>
    <col min="4867" max="4867" width="22.6640625" style="86" customWidth="1"/>
    <col min="4868" max="4868" width="12.33203125" style="86" bestFit="1" customWidth="1"/>
    <col min="4869" max="4869" width="11.44140625" style="86"/>
    <col min="4870" max="4870" width="11.88671875" style="86" customWidth="1"/>
    <col min="4871" max="4871" width="12" style="86" customWidth="1"/>
    <col min="4872" max="4875" width="11.44140625" style="86"/>
    <col min="4876" max="4876" width="11.6640625" style="86" bestFit="1" customWidth="1"/>
    <col min="4877" max="4878" width="11.44140625" style="86"/>
    <col min="4879" max="4879" width="16.44140625" style="86" customWidth="1"/>
    <col min="4880" max="5122" width="11.44140625" style="86"/>
    <col min="5123" max="5123" width="22.6640625" style="86" customWidth="1"/>
    <col min="5124" max="5124" width="12.33203125" style="86" bestFit="1" customWidth="1"/>
    <col min="5125" max="5125" width="11.44140625" style="86"/>
    <col min="5126" max="5126" width="11.88671875" style="86" customWidth="1"/>
    <col min="5127" max="5127" width="12" style="86" customWidth="1"/>
    <col min="5128" max="5131" width="11.44140625" style="86"/>
    <col min="5132" max="5132" width="11.6640625" style="86" bestFit="1" customWidth="1"/>
    <col min="5133" max="5134" width="11.44140625" style="86"/>
    <col min="5135" max="5135" width="16.44140625" style="86" customWidth="1"/>
    <col min="5136" max="5378" width="11.44140625" style="86"/>
    <col min="5379" max="5379" width="22.6640625" style="86" customWidth="1"/>
    <col min="5380" max="5380" width="12.33203125" style="86" bestFit="1" customWidth="1"/>
    <col min="5381" max="5381" width="11.44140625" style="86"/>
    <col min="5382" max="5382" width="11.88671875" style="86" customWidth="1"/>
    <col min="5383" max="5383" width="12" style="86" customWidth="1"/>
    <col min="5384" max="5387" width="11.44140625" style="86"/>
    <col min="5388" max="5388" width="11.6640625" style="86" bestFit="1" customWidth="1"/>
    <col min="5389" max="5390" width="11.44140625" style="86"/>
    <col min="5391" max="5391" width="16.44140625" style="86" customWidth="1"/>
    <col min="5392" max="5634" width="11.44140625" style="86"/>
    <col min="5635" max="5635" width="22.6640625" style="86" customWidth="1"/>
    <col min="5636" max="5636" width="12.33203125" style="86" bestFit="1" customWidth="1"/>
    <col min="5637" max="5637" width="11.44140625" style="86"/>
    <col min="5638" max="5638" width="11.88671875" style="86" customWidth="1"/>
    <col min="5639" max="5639" width="12" style="86" customWidth="1"/>
    <col min="5640" max="5643" width="11.44140625" style="86"/>
    <col min="5644" max="5644" width="11.6640625" style="86" bestFit="1" customWidth="1"/>
    <col min="5645" max="5646" width="11.44140625" style="86"/>
    <col min="5647" max="5647" width="16.44140625" style="86" customWidth="1"/>
    <col min="5648" max="5890" width="11.44140625" style="86"/>
    <col min="5891" max="5891" width="22.6640625" style="86" customWidth="1"/>
    <col min="5892" max="5892" width="12.33203125" style="86" bestFit="1" customWidth="1"/>
    <col min="5893" max="5893" width="11.44140625" style="86"/>
    <col min="5894" max="5894" width="11.88671875" style="86" customWidth="1"/>
    <col min="5895" max="5895" width="12" style="86" customWidth="1"/>
    <col min="5896" max="5899" width="11.44140625" style="86"/>
    <col min="5900" max="5900" width="11.6640625" style="86" bestFit="1" customWidth="1"/>
    <col min="5901" max="5902" width="11.44140625" style="86"/>
    <col min="5903" max="5903" width="16.44140625" style="86" customWidth="1"/>
    <col min="5904" max="6146" width="11.44140625" style="86"/>
    <col min="6147" max="6147" width="22.6640625" style="86" customWidth="1"/>
    <col min="6148" max="6148" width="12.33203125" style="86" bestFit="1" customWidth="1"/>
    <col min="6149" max="6149" width="11.44140625" style="86"/>
    <col min="6150" max="6150" width="11.88671875" style="86" customWidth="1"/>
    <col min="6151" max="6151" width="12" style="86" customWidth="1"/>
    <col min="6152" max="6155" width="11.44140625" style="86"/>
    <col min="6156" max="6156" width="11.6640625" style="86" bestFit="1" customWidth="1"/>
    <col min="6157" max="6158" width="11.44140625" style="86"/>
    <col min="6159" max="6159" width="16.44140625" style="86" customWidth="1"/>
    <col min="6160" max="6402" width="11.44140625" style="86"/>
    <col min="6403" max="6403" width="22.6640625" style="86" customWidth="1"/>
    <col min="6404" max="6404" width="12.33203125" style="86" bestFit="1" customWidth="1"/>
    <col min="6405" max="6405" width="11.44140625" style="86"/>
    <col min="6406" max="6406" width="11.88671875" style="86" customWidth="1"/>
    <col min="6407" max="6407" width="12" style="86" customWidth="1"/>
    <col min="6408" max="6411" width="11.44140625" style="86"/>
    <col min="6412" max="6412" width="11.6640625" style="86" bestFit="1" customWidth="1"/>
    <col min="6413" max="6414" width="11.44140625" style="86"/>
    <col min="6415" max="6415" width="16.44140625" style="86" customWidth="1"/>
    <col min="6416" max="6658" width="11.44140625" style="86"/>
    <col min="6659" max="6659" width="22.6640625" style="86" customWidth="1"/>
    <col min="6660" max="6660" width="12.33203125" style="86" bestFit="1" customWidth="1"/>
    <col min="6661" max="6661" width="11.44140625" style="86"/>
    <col min="6662" max="6662" width="11.88671875" style="86" customWidth="1"/>
    <col min="6663" max="6663" width="12" style="86" customWidth="1"/>
    <col min="6664" max="6667" width="11.44140625" style="86"/>
    <col min="6668" max="6668" width="11.6640625" style="86" bestFit="1" customWidth="1"/>
    <col min="6669" max="6670" width="11.44140625" style="86"/>
    <col min="6671" max="6671" width="16.44140625" style="86" customWidth="1"/>
    <col min="6672" max="6914" width="11.44140625" style="86"/>
    <col min="6915" max="6915" width="22.6640625" style="86" customWidth="1"/>
    <col min="6916" max="6916" width="12.33203125" style="86" bestFit="1" customWidth="1"/>
    <col min="6917" max="6917" width="11.44140625" style="86"/>
    <col min="6918" max="6918" width="11.88671875" style="86" customWidth="1"/>
    <col min="6919" max="6919" width="12" style="86" customWidth="1"/>
    <col min="6920" max="6923" width="11.44140625" style="86"/>
    <col min="6924" max="6924" width="11.6640625" style="86" bestFit="1" customWidth="1"/>
    <col min="6925" max="6926" width="11.44140625" style="86"/>
    <col min="6927" max="6927" width="16.44140625" style="86" customWidth="1"/>
    <col min="6928" max="7170" width="11.44140625" style="86"/>
    <col min="7171" max="7171" width="22.6640625" style="86" customWidth="1"/>
    <col min="7172" max="7172" width="12.33203125" style="86" bestFit="1" customWidth="1"/>
    <col min="7173" max="7173" width="11.44140625" style="86"/>
    <col min="7174" max="7174" width="11.88671875" style="86" customWidth="1"/>
    <col min="7175" max="7175" width="12" style="86" customWidth="1"/>
    <col min="7176" max="7179" width="11.44140625" style="86"/>
    <col min="7180" max="7180" width="11.6640625" style="86" bestFit="1" customWidth="1"/>
    <col min="7181" max="7182" width="11.44140625" style="86"/>
    <col min="7183" max="7183" width="16.44140625" style="86" customWidth="1"/>
    <col min="7184" max="7426" width="11.44140625" style="86"/>
    <col min="7427" max="7427" width="22.6640625" style="86" customWidth="1"/>
    <col min="7428" max="7428" width="12.33203125" style="86" bestFit="1" customWidth="1"/>
    <col min="7429" max="7429" width="11.44140625" style="86"/>
    <col min="7430" max="7430" width="11.88671875" style="86" customWidth="1"/>
    <col min="7431" max="7431" width="12" style="86" customWidth="1"/>
    <col min="7432" max="7435" width="11.44140625" style="86"/>
    <col min="7436" max="7436" width="11.6640625" style="86" bestFit="1" customWidth="1"/>
    <col min="7437" max="7438" width="11.44140625" style="86"/>
    <col min="7439" max="7439" width="16.44140625" style="86" customWidth="1"/>
    <col min="7440" max="7682" width="11.44140625" style="86"/>
    <col min="7683" max="7683" width="22.6640625" style="86" customWidth="1"/>
    <col min="7684" max="7684" width="12.33203125" style="86" bestFit="1" customWidth="1"/>
    <col min="7685" max="7685" width="11.44140625" style="86"/>
    <col min="7686" max="7686" width="11.88671875" style="86" customWidth="1"/>
    <col min="7687" max="7687" width="12" style="86" customWidth="1"/>
    <col min="7688" max="7691" width="11.44140625" style="86"/>
    <col min="7692" max="7692" width="11.6640625" style="86" bestFit="1" customWidth="1"/>
    <col min="7693" max="7694" width="11.44140625" style="86"/>
    <col min="7695" max="7695" width="16.44140625" style="86" customWidth="1"/>
    <col min="7696" max="7938" width="11.44140625" style="86"/>
    <col min="7939" max="7939" width="22.6640625" style="86" customWidth="1"/>
    <col min="7940" max="7940" width="12.33203125" style="86" bestFit="1" customWidth="1"/>
    <col min="7941" max="7941" width="11.44140625" style="86"/>
    <col min="7942" max="7942" width="11.88671875" style="86" customWidth="1"/>
    <col min="7943" max="7943" width="12" style="86" customWidth="1"/>
    <col min="7944" max="7947" width="11.44140625" style="86"/>
    <col min="7948" max="7948" width="11.6640625" style="86" bestFit="1" customWidth="1"/>
    <col min="7949" max="7950" width="11.44140625" style="86"/>
    <col min="7951" max="7951" width="16.44140625" style="86" customWidth="1"/>
    <col min="7952" max="8194" width="11.44140625" style="86"/>
    <col min="8195" max="8195" width="22.6640625" style="86" customWidth="1"/>
    <col min="8196" max="8196" width="12.33203125" style="86" bestFit="1" customWidth="1"/>
    <col min="8197" max="8197" width="11.44140625" style="86"/>
    <col min="8198" max="8198" width="11.88671875" style="86" customWidth="1"/>
    <col min="8199" max="8199" width="12" style="86" customWidth="1"/>
    <col min="8200" max="8203" width="11.44140625" style="86"/>
    <col min="8204" max="8204" width="11.6640625" style="86" bestFit="1" customWidth="1"/>
    <col min="8205" max="8206" width="11.44140625" style="86"/>
    <col min="8207" max="8207" width="16.44140625" style="86" customWidth="1"/>
    <col min="8208" max="8450" width="11.44140625" style="86"/>
    <col min="8451" max="8451" width="22.6640625" style="86" customWidth="1"/>
    <col min="8452" max="8452" width="12.33203125" style="86" bestFit="1" customWidth="1"/>
    <col min="8453" max="8453" width="11.44140625" style="86"/>
    <col min="8454" max="8454" width="11.88671875" style="86" customWidth="1"/>
    <col min="8455" max="8455" width="12" style="86" customWidth="1"/>
    <col min="8456" max="8459" width="11.44140625" style="86"/>
    <col min="8460" max="8460" width="11.6640625" style="86" bestFit="1" customWidth="1"/>
    <col min="8461" max="8462" width="11.44140625" style="86"/>
    <col min="8463" max="8463" width="16.44140625" style="86" customWidth="1"/>
    <col min="8464" max="8706" width="11.44140625" style="86"/>
    <col min="8707" max="8707" width="22.6640625" style="86" customWidth="1"/>
    <col min="8708" max="8708" width="12.33203125" style="86" bestFit="1" customWidth="1"/>
    <col min="8709" max="8709" width="11.44140625" style="86"/>
    <col min="8710" max="8710" width="11.88671875" style="86" customWidth="1"/>
    <col min="8711" max="8711" width="12" style="86" customWidth="1"/>
    <col min="8712" max="8715" width="11.44140625" style="86"/>
    <col min="8716" max="8716" width="11.6640625" style="86" bestFit="1" customWidth="1"/>
    <col min="8717" max="8718" width="11.44140625" style="86"/>
    <col min="8719" max="8719" width="16.44140625" style="86" customWidth="1"/>
    <col min="8720" max="8962" width="11.44140625" style="86"/>
    <col min="8963" max="8963" width="22.6640625" style="86" customWidth="1"/>
    <col min="8964" max="8964" width="12.33203125" style="86" bestFit="1" customWidth="1"/>
    <col min="8965" max="8965" width="11.44140625" style="86"/>
    <col min="8966" max="8966" width="11.88671875" style="86" customWidth="1"/>
    <col min="8967" max="8967" width="12" style="86" customWidth="1"/>
    <col min="8968" max="8971" width="11.44140625" style="86"/>
    <col min="8972" max="8972" width="11.6640625" style="86" bestFit="1" customWidth="1"/>
    <col min="8973" max="8974" width="11.44140625" style="86"/>
    <col min="8975" max="8975" width="16.44140625" style="86" customWidth="1"/>
    <col min="8976" max="9218" width="11.44140625" style="86"/>
    <col min="9219" max="9219" width="22.6640625" style="86" customWidth="1"/>
    <col min="9220" max="9220" width="12.33203125" style="86" bestFit="1" customWidth="1"/>
    <col min="9221" max="9221" width="11.44140625" style="86"/>
    <col min="9222" max="9222" width="11.88671875" style="86" customWidth="1"/>
    <col min="9223" max="9223" width="12" style="86" customWidth="1"/>
    <col min="9224" max="9227" width="11.44140625" style="86"/>
    <col min="9228" max="9228" width="11.6640625" style="86" bestFit="1" customWidth="1"/>
    <col min="9229" max="9230" width="11.44140625" style="86"/>
    <col min="9231" max="9231" width="16.44140625" style="86" customWidth="1"/>
    <col min="9232" max="9474" width="11.44140625" style="86"/>
    <col min="9475" max="9475" width="22.6640625" style="86" customWidth="1"/>
    <col min="9476" max="9476" width="12.33203125" style="86" bestFit="1" customWidth="1"/>
    <col min="9477" max="9477" width="11.44140625" style="86"/>
    <col min="9478" max="9478" width="11.88671875" style="86" customWidth="1"/>
    <col min="9479" max="9479" width="12" style="86" customWidth="1"/>
    <col min="9480" max="9483" width="11.44140625" style="86"/>
    <col min="9484" max="9484" width="11.6640625" style="86" bestFit="1" customWidth="1"/>
    <col min="9485" max="9486" width="11.44140625" style="86"/>
    <col min="9487" max="9487" width="16.44140625" style="86" customWidth="1"/>
    <col min="9488" max="9730" width="11.44140625" style="86"/>
    <col min="9731" max="9731" width="22.6640625" style="86" customWidth="1"/>
    <col min="9732" max="9732" width="12.33203125" style="86" bestFit="1" customWidth="1"/>
    <col min="9733" max="9733" width="11.44140625" style="86"/>
    <col min="9734" max="9734" width="11.88671875" style="86" customWidth="1"/>
    <col min="9735" max="9735" width="12" style="86" customWidth="1"/>
    <col min="9736" max="9739" width="11.44140625" style="86"/>
    <col min="9740" max="9740" width="11.6640625" style="86" bestFit="1" customWidth="1"/>
    <col min="9741" max="9742" width="11.44140625" style="86"/>
    <col min="9743" max="9743" width="16.44140625" style="86" customWidth="1"/>
    <col min="9744" max="9986" width="11.44140625" style="86"/>
    <col min="9987" max="9987" width="22.6640625" style="86" customWidth="1"/>
    <col min="9988" max="9988" width="12.33203125" style="86" bestFit="1" customWidth="1"/>
    <col min="9989" max="9989" width="11.44140625" style="86"/>
    <col min="9990" max="9990" width="11.88671875" style="86" customWidth="1"/>
    <col min="9991" max="9991" width="12" style="86" customWidth="1"/>
    <col min="9992" max="9995" width="11.44140625" style="86"/>
    <col min="9996" max="9996" width="11.6640625" style="86" bestFit="1" customWidth="1"/>
    <col min="9997" max="9998" width="11.44140625" style="86"/>
    <col min="9999" max="9999" width="16.44140625" style="86" customWidth="1"/>
    <col min="10000" max="10242" width="11.44140625" style="86"/>
    <col min="10243" max="10243" width="22.6640625" style="86" customWidth="1"/>
    <col min="10244" max="10244" width="12.33203125" style="86" bestFit="1" customWidth="1"/>
    <col min="10245" max="10245" width="11.44140625" style="86"/>
    <col min="10246" max="10246" width="11.88671875" style="86" customWidth="1"/>
    <col min="10247" max="10247" width="12" style="86" customWidth="1"/>
    <col min="10248" max="10251" width="11.44140625" style="86"/>
    <col min="10252" max="10252" width="11.6640625" style="86" bestFit="1" customWidth="1"/>
    <col min="10253" max="10254" width="11.44140625" style="86"/>
    <col min="10255" max="10255" width="16.44140625" style="86" customWidth="1"/>
    <col min="10256" max="10498" width="11.44140625" style="86"/>
    <col min="10499" max="10499" width="22.6640625" style="86" customWidth="1"/>
    <col min="10500" max="10500" width="12.33203125" style="86" bestFit="1" customWidth="1"/>
    <col min="10501" max="10501" width="11.44140625" style="86"/>
    <col min="10502" max="10502" width="11.88671875" style="86" customWidth="1"/>
    <col min="10503" max="10503" width="12" style="86" customWidth="1"/>
    <col min="10504" max="10507" width="11.44140625" style="86"/>
    <col min="10508" max="10508" width="11.6640625" style="86" bestFit="1" customWidth="1"/>
    <col min="10509" max="10510" width="11.44140625" style="86"/>
    <col min="10511" max="10511" width="16.44140625" style="86" customWidth="1"/>
    <col min="10512" max="10754" width="11.44140625" style="86"/>
    <col min="10755" max="10755" width="22.6640625" style="86" customWidth="1"/>
    <col min="10756" max="10756" width="12.33203125" style="86" bestFit="1" customWidth="1"/>
    <col min="10757" max="10757" width="11.44140625" style="86"/>
    <col min="10758" max="10758" width="11.88671875" style="86" customWidth="1"/>
    <col min="10759" max="10759" width="12" style="86" customWidth="1"/>
    <col min="10760" max="10763" width="11.44140625" style="86"/>
    <col min="10764" max="10764" width="11.6640625" style="86" bestFit="1" customWidth="1"/>
    <col min="10765" max="10766" width="11.44140625" style="86"/>
    <col min="10767" max="10767" width="16.44140625" style="86" customWidth="1"/>
    <col min="10768" max="11010" width="11.44140625" style="86"/>
    <col min="11011" max="11011" width="22.6640625" style="86" customWidth="1"/>
    <col min="11012" max="11012" width="12.33203125" style="86" bestFit="1" customWidth="1"/>
    <col min="11013" max="11013" width="11.44140625" style="86"/>
    <col min="11014" max="11014" width="11.88671875" style="86" customWidth="1"/>
    <col min="11015" max="11015" width="12" style="86" customWidth="1"/>
    <col min="11016" max="11019" width="11.44140625" style="86"/>
    <col min="11020" max="11020" width="11.6640625" style="86" bestFit="1" customWidth="1"/>
    <col min="11021" max="11022" width="11.44140625" style="86"/>
    <col min="11023" max="11023" width="16.44140625" style="86" customWidth="1"/>
    <col min="11024" max="11266" width="11.44140625" style="86"/>
    <col min="11267" max="11267" width="22.6640625" style="86" customWidth="1"/>
    <col min="11268" max="11268" width="12.33203125" style="86" bestFit="1" customWidth="1"/>
    <col min="11269" max="11269" width="11.44140625" style="86"/>
    <col min="11270" max="11270" width="11.88671875" style="86" customWidth="1"/>
    <col min="11271" max="11271" width="12" style="86" customWidth="1"/>
    <col min="11272" max="11275" width="11.44140625" style="86"/>
    <col min="11276" max="11276" width="11.6640625" style="86" bestFit="1" customWidth="1"/>
    <col min="11277" max="11278" width="11.44140625" style="86"/>
    <col min="11279" max="11279" width="16.44140625" style="86" customWidth="1"/>
    <col min="11280" max="11522" width="11.44140625" style="86"/>
    <col min="11523" max="11523" width="22.6640625" style="86" customWidth="1"/>
    <col min="11524" max="11524" width="12.33203125" style="86" bestFit="1" customWidth="1"/>
    <col min="11525" max="11525" width="11.44140625" style="86"/>
    <col min="11526" max="11526" width="11.88671875" style="86" customWidth="1"/>
    <col min="11527" max="11527" width="12" style="86" customWidth="1"/>
    <col min="11528" max="11531" width="11.44140625" style="86"/>
    <col min="11532" max="11532" width="11.6640625" style="86" bestFit="1" customWidth="1"/>
    <col min="11533" max="11534" width="11.44140625" style="86"/>
    <col min="11535" max="11535" width="16.44140625" style="86" customWidth="1"/>
    <col min="11536" max="11778" width="11.44140625" style="86"/>
    <col min="11779" max="11779" width="22.6640625" style="86" customWidth="1"/>
    <col min="11780" max="11780" width="12.33203125" style="86" bestFit="1" customWidth="1"/>
    <col min="11781" max="11781" width="11.44140625" style="86"/>
    <col min="11782" max="11782" width="11.88671875" style="86" customWidth="1"/>
    <col min="11783" max="11783" width="12" style="86" customWidth="1"/>
    <col min="11784" max="11787" width="11.44140625" style="86"/>
    <col min="11788" max="11788" width="11.6640625" style="86" bestFit="1" customWidth="1"/>
    <col min="11789" max="11790" width="11.44140625" style="86"/>
    <col min="11791" max="11791" width="16.44140625" style="86" customWidth="1"/>
    <col min="11792" max="12034" width="11.44140625" style="86"/>
    <col min="12035" max="12035" width="22.6640625" style="86" customWidth="1"/>
    <col min="12036" max="12036" width="12.33203125" style="86" bestFit="1" customWidth="1"/>
    <col min="12037" max="12037" width="11.44140625" style="86"/>
    <col min="12038" max="12038" width="11.88671875" style="86" customWidth="1"/>
    <col min="12039" max="12039" width="12" style="86" customWidth="1"/>
    <col min="12040" max="12043" width="11.44140625" style="86"/>
    <col min="12044" max="12044" width="11.6640625" style="86" bestFit="1" customWidth="1"/>
    <col min="12045" max="12046" width="11.44140625" style="86"/>
    <col min="12047" max="12047" width="16.44140625" style="86" customWidth="1"/>
    <col min="12048" max="12290" width="11.44140625" style="86"/>
    <col min="12291" max="12291" width="22.6640625" style="86" customWidth="1"/>
    <col min="12292" max="12292" width="12.33203125" style="86" bestFit="1" customWidth="1"/>
    <col min="12293" max="12293" width="11.44140625" style="86"/>
    <col min="12294" max="12294" width="11.88671875" style="86" customWidth="1"/>
    <col min="12295" max="12295" width="12" style="86" customWidth="1"/>
    <col min="12296" max="12299" width="11.44140625" style="86"/>
    <col min="12300" max="12300" width="11.6640625" style="86" bestFit="1" customWidth="1"/>
    <col min="12301" max="12302" width="11.44140625" style="86"/>
    <col min="12303" max="12303" width="16.44140625" style="86" customWidth="1"/>
    <col min="12304" max="12546" width="11.44140625" style="86"/>
    <col min="12547" max="12547" width="22.6640625" style="86" customWidth="1"/>
    <col min="12548" max="12548" width="12.33203125" style="86" bestFit="1" customWidth="1"/>
    <col min="12549" max="12549" width="11.44140625" style="86"/>
    <col min="12550" max="12550" width="11.88671875" style="86" customWidth="1"/>
    <col min="12551" max="12551" width="12" style="86" customWidth="1"/>
    <col min="12552" max="12555" width="11.44140625" style="86"/>
    <col min="12556" max="12556" width="11.6640625" style="86" bestFit="1" customWidth="1"/>
    <col min="12557" max="12558" width="11.44140625" style="86"/>
    <col min="12559" max="12559" width="16.44140625" style="86" customWidth="1"/>
    <col min="12560" max="12802" width="11.44140625" style="86"/>
    <col min="12803" max="12803" width="22.6640625" style="86" customWidth="1"/>
    <col min="12804" max="12804" width="12.33203125" style="86" bestFit="1" customWidth="1"/>
    <col min="12805" max="12805" width="11.44140625" style="86"/>
    <col min="12806" max="12806" width="11.88671875" style="86" customWidth="1"/>
    <col min="12807" max="12807" width="12" style="86" customWidth="1"/>
    <col min="12808" max="12811" width="11.44140625" style="86"/>
    <col min="12812" max="12812" width="11.6640625" style="86" bestFit="1" customWidth="1"/>
    <col min="12813" max="12814" width="11.44140625" style="86"/>
    <col min="12815" max="12815" width="16.44140625" style="86" customWidth="1"/>
    <col min="12816" max="13058" width="11.44140625" style="86"/>
    <col min="13059" max="13059" width="22.6640625" style="86" customWidth="1"/>
    <col min="13060" max="13060" width="12.33203125" style="86" bestFit="1" customWidth="1"/>
    <col min="13061" max="13061" width="11.44140625" style="86"/>
    <col min="13062" max="13062" width="11.88671875" style="86" customWidth="1"/>
    <col min="13063" max="13063" width="12" style="86" customWidth="1"/>
    <col min="13064" max="13067" width="11.44140625" style="86"/>
    <col min="13068" max="13068" width="11.6640625" style="86" bestFit="1" customWidth="1"/>
    <col min="13069" max="13070" width="11.44140625" style="86"/>
    <col min="13071" max="13071" width="16.44140625" style="86" customWidth="1"/>
    <col min="13072" max="13314" width="11.44140625" style="86"/>
    <col min="13315" max="13315" width="22.6640625" style="86" customWidth="1"/>
    <col min="13316" max="13316" width="12.33203125" style="86" bestFit="1" customWidth="1"/>
    <col min="13317" max="13317" width="11.44140625" style="86"/>
    <col min="13318" max="13318" width="11.88671875" style="86" customWidth="1"/>
    <col min="13319" max="13319" width="12" style="86" customWidth="1"/>
    <col min="13320" max="13323" width="11.44140625" style="86"/>
    <col min="13324" max="13324" width="11.6640625" style="86" bestFit="1" customWidth="1"/>
    <col min="13325" max="13326" width="11.44140625" style="86"/>
    <col min="13327" max="13327" width="16.44140625" style="86" customWidth="1"/>
    <col min="13328" max="13570" width="11.44140625" style="86"/>
    <col min="13571" max="13571" width="22.6640625" style="86" customWidth="1"/>
    <col min="13572" max="13572" width="12.33203125" style="86" bestFit="1" customWidth="1"/>
    <col min="13573" max="13573" width="11.44140625" style="86"/>
    <col min="13574" max="13574" width="11.88671875" style="86" customWidth="1"/>
    <col min="13575" max="13575" width="12" style="86" customWidth="1"/>
    <col min="13576" max="13579" width="11.44140625" style="86"/>
    <col min="13580" max="13580" width="11.6640625" style="86" bestFit="1" customWidth="1"/>
    <col min="13581" max="13582" width="11.44140625" style="86"/>
    <col min="13583" max="13583" width="16.44140625" style="86" customWidth="1"/>
    <col min="13584" max="13826" width="11.44140625" style="86"/>
    <col min="13827" max="13827" width="22.6640625" style="86" customWidth="1"/>
    <col min="13828" max="13828" width="12.33203125" style="86" bestFit="1" customWidth="1"/>
    <col min="13829" max="13829" width="11.44140625" style="86"/>
    <col min="13830" max="13830" width="11.88671875" style="86" customWidth="1"/>
    <col min="13831" max="13831" width="12" style="86" customWidth="1"/>
    <col min="13832" max="13835" width="11.44140625" style="86"/>
    <col min="13836" max="13836" width="11.6640625" style="86" bestFit="1" customWidth="1"/>
    <col min="13837" max="13838" width="11.44140625" style="86"/>
    <col min="13839" max="13839" width="16.44140625" style="86" customWidth="1"/>
    <col min="13840" max="14082" width="11.44140625" style="86"/>
    <col min="14083" max="14083" width="22.6640625" style="86" customWidth="1"/>
    <col min="14084" max="14084" width="12.33203125" style="86" bestFit="1" customWidth="1"/>
    <col min="14085" max="14085" width="11.44140625" style="86"/>
    <col min="14086" max="14086" width="11.88671875" style="86" customWidth="1"/>
    <col min="14087" max="14087" width="12" style="86" customWidth="1"/>
    <col min="14088" max="14091" width="11.44140625" style="86"/>
    <col min="14092" max="14092" width="11.6640625" style="86" bestFit="1" customWidth="1"/>
    <col min="14093" max="14094" width="11.44140625" style="86"/>
    <col min="14095" max="14095" width="16.44140625" style="86" customWidth="1"/>
    <col min="14096" max="14338" width="11.44140625" style="86"/>
    <col min="14339" max="14339" width="22.6640625" style="86" customWidth="1"/>
    <col min="14340" max="14340" width="12.33203125" style="86" bestFit="1" customWidth="1"/>
    <col min="14341" max="14341" width="11.44140625" style="86"/>
    <col min="14342" max="14342" width="11.88671875" style="86" customWidth="1"/>
    <col min="14343" max="14343" width="12" style="86" customWidth="1"/>
    <col min="14344" max="14347" width="11.44140625" style="86"/>
    <col min="14348" max="14348" width="11.6640625" style="86" bestFit="1" customWidth="1"/>
    <col min="14349" max="14350" width="11.44140625" style="86"/>
    <col min="14351" max="14351" width="16.44140625" style="86" customWidth="1"/>
    <col min="14352" max="14594" width="11.44140625" style="86"/>
    <col min="14595" max="14595" width="22.6640625" style="86" customWidth="1"/>
    <col min="14596" max="14596" width="12.33203125" style="86" bestFit="1" customWidth="1"/>
    <col min="14597" max="14597" width="11.44140625" style="86"/>
    <col min="14598" max="14598" width="11.88671875" style="86" customWidth="1"/>
    <col min="14599" max="14599" width="12" style="86" customWidth="1"/>
    <col min="14600" max="14603" width="11.44140625" style="86"/>
    <col min="14604" max="14604" width="11.6640625" style="86" bestFit="1" customWidth="1"/>
    <col min="14605" max="14606" width="11.44140625" style="86"/>
    <col min="14607" max="14607" width="16.44140625" style="86" customWidth="1"/>
    <col min="14608" max="14850" width="11.44140625" style="86"/>
    <col min="14851" max="14851" width="22.6640625" style="86" customWidth="1"/>
    <col min="14852" max="14852" width="12.33203125" style="86" bestFit="1" customWidth="1"/>
    <col min="14853" max="14853" width="11.44140625" style="86"/>
    <col min="14854" max="14854" width="11.88671875" style="86" customWidth="1"/>
    <col min="14855" max="14855" width="12" style="86" customWidth="1"/>
    <col min="14856" max="14859" width="11.44140625" style="86"/>
    <col min="14860" max="14860" width="11.6640625" style="86" bestFit="1" customWidth="1"/>
    <col min="14861" max="14862" width="11.44140625" style="86"/>
    <col min="14863" max="14863" width="16.44140625" style="86" customWidth="1"/>
    <col min="14864" max="15106" width="11.44140625" style="86"/>
    <col min="15107" max="15107" width="22.6640625" style="86" customWidth="1"/>
    <col min="15108" max="15108" width="12.33203125" style="86" bestFit="1" customWidth="1"/>
    <col min="15109" max="15109" width="11.44140625" style="86"/>
    <col min="15110" max="15110" width="11.88671875" style="86" customWidth="1"/>
    <col min="15111" max="15111" width="12" style="86" customWidth="1"/>
    <col min="15112" max="15115" width="11.44140625" style="86"/>
    <col min="15116" max="15116" width="11.6640625" style="86" bestFit="1" customWidth="1"/>
    <col min="15117" max="15118" width="11.44140625" style="86"/>
    <col min="15119" max="15119" width="16.44140625" style="86" customWidth="1"/>
    <col min="15120" max="15362" width="11.44140625" style="86"/>
    <col min="15363" max="15363" width="22.6640625" style="86" customWidth="1"/>
    <col min="15364" max="15364" width="12.33203125" style="86" bestFit="1" customWidth="1"/>
    <col min="15365" max="15365" width="11.44140625" style="86"/>
    <col min="15366" max="15366" width="11.88671875" style="86" customWidth="1"/>
    <col min="15367" max="15367" width="12" style="86" customWidth="1"/>
    <col min="15368" max="15371" width="11.44140625" style="86"/>
    <col min="15372" max="15372" width="11.6640625" style="86" bestFit="1" customWidth="1"/>
    <col min="15373" max="15374" width="11.44140625" style="86"/>
    <col min="15375" max="15375" width="16.44140625" style="86" customWidth="1"/>
    <col min="15376" max="15618" width="11.44140625" style="86"/>
    <col min="15619" max="15619" width="22.6640625" style="86" customWidth="1"/>
    <col min="15620" max="15620" width="12.33203125" style="86" bestFit="1" customWidth="1"/>
    <col min="15621" max="15621" width="11.44140625" style="86"/>
    <col min="15622" max="15622" width="11.88671875" style="86" customWidth="1"/>
    <col min="15623" max="15623" width="12" style="86" customWidth="1"/>
    <col min="15624" max="15627" width="11.44140625" style="86"/>
    <col min="15628" max="15628" width="11.6640625" style="86" bestFit="1" customWidth="1"/>
    <col min="15629" max="15630" width="11.44140625" style="86"/>
    <col min="15631" max="15631" width="16.44140625" style="86" customWidth="1"/>
    <col min="15632" max="15874" width="11.44140625" style="86"/>
    <col min="15875" max="15875" width="22.6640625" style="86" customWidth="1"/>
    <col min="15876" max="15876" width="12.33203125" style="86" bestFit="1" customWidth="1"/>
    <col min="15877" max="15877" width="11.44140625" style="86"/>
    <col min="15878" max="15878" width="11.88671875" style="86" customWidth="1"/>
    <col min="15879" max="15879" width="12" style="86" customWidth="1"/>
    <col min="15880" max="15883" width="11.44140625" style="86"/>
    <col min="15884" max="15884" width="11.6640625" style="86" bestFit="1" customWidth="1"/>
    <col min="15885" max="15886" width="11.44140625" style="86"/>
    <col min="15887" max="15887" width="16.44140625" style="86" customWidth="1"/>
    <col min="15888" max="16130" width="11.44140625" style="86"/>
    <col min="16131" max="16131" width="22.6640625" style="86" customWidth="1"/>
    <col min="16132" max="16132" width="12.33203125" style="86" bestFit="1" customWidth="1"/>
    <col min="16133" max="16133" width="11.44140625" style="86"/>
    <col min="16134" max="16134" width="11.88671875" style="86" customWidth="1"/>
    <col min="16135" max="16135" width="12" style="86" customWidth="1"/>
    <col min="16136" max="16139" width="11.44140625" style="86"/>
    <col min="16140" max="16140" width="11.6640625" style="86" bestFit="1" customWidth="1"/>
    <col min="16141" max="16142" width="11.44140625" style="86"/>
    <col min="16143" max="16143" width="16.44140625" style="86" customWidth="1"/>
    <col min="16144" max="16384" width="11.44140625" style="86"/>
  </cols>
  <sheetData>
    <row r="1" spans="3:17" ht="19.95" customHeight="1" x14ac:dyDescent="0.25">
      <c r="C1" s="619" t="s">
        <v>424</v>
      </c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</row>
    <row r="3" spans="3:17" ht="14.4" customHeight="1" x14ac:dyDescent="0.25">
      <c r="C3" s="622" t="s">
        <v>184</v>
      </c>
      <c r="D3" s="623"/>
      <c r="E3" s="624"/>
      <c r="F3" s="269"/>
      <c r="G3" s="88"/>
      <c r="H3" s="88"/>
      <c r="I3" s="88"/>
      <c r="J3" s="88"/>
      <c r="K3" s="88"/>
      <c r="L3" s="88"/>
      <c r="M3" s="88"/>
      <c r="N3" s="88"/>
    </row>
    <row r="4" spans="3:17" x14ac:dyDescent="0.25">
      <c r="C4" s="638"/>
      <c r="D4" s="639"/>
      <c r="E4" s="640"/>
      <c r="F4" s="270"/>
      <c r="G4" s="270"/>
      <c r="H4" s="270"/>
      <c r="I4" s="270"/>
      <c r="J4" s="270"/>
      <c r="K4" s="270"/>
      <c r="L4" s="270"/>
      <c r="M4" s="270"/>
      <c r="N4" s="270"/>
    </row>
    <row r="5" spans="3:17" x14ac:dyDescent="0.25">
      <c r="C5" s="100" t="s">
        <v>123</v>
      </c>
      <c r="D5" s="88"/>
      <c r="E5" s="103"/>
      <c r="F5" s="269"/>
      <c r="G5" s="88"/>
      <c r="H5" s="88"/>
      <c r="I5" s="88"/>
      <c r="J5" s="88"/>
      <c r="K5" s="88"/>
      <c r="L5" s="88"/>
      <c r="M5" s="88"/>
      <c r="N5" s="88"/>
    </row>
    <row r="6" spans="3:17" x14ac:dyDescent="0.25">
      <c r="C6" s="100" t="s">
        <v>0</v>
      </c>
      <c r="D6" s="88"/>
      <c r="E6" s="103">
        <f>190000*(1+E7)</f>
        <v>203300</v>
      </c>
      <c r="F6" s="269"/>
      <c r="G6" s="88"/>
      <c r="H6" s="88"/>
      <c r="I6" s="88"/>
      <c r="J6" s="88"/>
      <c r="K6" s="88"/>
      <c r="L6" s="88"/>
      <c r="M6" s="88"/>
      <c r="N6" s="88"/>
    </row>
    <row r="7" spans="3:17" x14ac:dyDescent="0.25">
      <c r="C7" s="100" t="s">
        <v>387</v>
      </c>
      <c r="D7" s="88"/>
      <c r="E7" s="138">
        <v>7.0000000000000007E-2</v>
      </c>
      <c r="F7" s="269"/>
      <c r="G7" s="88"/>
      <c r="H7" s="88"/>
      <c r="I7" s="88"/>
      <c r="J7" s="88"/>
      <c r="K7" s="88"/>
      <c r="L7" s="88"/>
      <c r="M7" s="88"/>
      <c r="N7" s="88"/>
    </row>
    <row r="8" spans="3:17" x14ac:dyDescent="0.25">
      <c r="C8" s="100" t="s">
        <v>370</v>
      </c>
      <c r="D8" s="88"/>
      <c r="E8" s="103">
        <f>20000-200*E9</f>
        <v>17200</v>
      </c>
      <c r="F8" s="269"/>
      <c r="G8" s="88"/>
      <c r="H8" s="88"/>
      <c r="I8" s="88"/>
      <c r="J8" s="88"/>
      <c r="K8" s="88"/>
      <c r="L8" s="88"/>
      <c r="M8" s="88"/>
      <c r="N8" s="88"/>
    </row>
    <row r="9" spans="3:17" x14ac:dyDescent="0.25">
      <c r="C9" s="100" t="s">
        <v>124</v>
      </c>
      <c r="D9" s="88"/>
      <c r="E9" s="103">
        <v>14</v>
      </c>
      <c r="F9" s="269"/>
      <c r="G9" s="88"/>
      <c r="H9" s="88"/>
      <c r="I9" s="88"/>
      <c r="J9" s="88"/>
      <c r="K9" s="88"/>
      <c r="L9" s="88"/>
      <c r="M9" s="88"/>
      <c r="N9" s="88"/>
    </row>
    <row r="10" spans="3:17" x14ac:dyDescent="0.25">
      <c r="C10" s="100" t="s">
        <v>255</v>
      </c>
      <c r="D10" s="88"/>
      <c r="E10" s="138">
        <v>-0.05</v>
      </c>
      <c r="F10" s="269"/>
      <c r="G10" s="88"/>
      <c r="H10" s="88"/>
      <c r="I10" s="88"/>
      <c r="J10" s="88"/>
      <c r="K10" s="88"/>
      <c r="L10" s="88"/>
      <c r="M10" s="88"/>
      <c r="N10" s="88"/>
    </row>
    <row r="11" spans="3:17" x14ac:dyDescent="0.25">
      <c r="C11" s="100" t="s">
        <v>369</v>
      </c>
      <c r="D11" s="88"/>
      <c r="E11" s="103">
        <v>50000</v>
      </c>
      <c r="F11" s="269"/>
      <c r="J11" s="88"/>
      <c r="K11" s="88"/>
      <c r="L11" s="88"/>
      <c r="M11" s="88"/>
      <c r="N11" s="88"/>
    </row>
    <row r="12" spans="3:17" x14ac:dyDescent="0.25">
      <c r="C12" s="100" t="s">
        <v>125</v>
      </c>
      <c r="D12" s="88"/>
      <c r="E12" s="103">
        <f>+(40000-10000)</f>
        <v>30000</v>
      </c>
      <c r="F12" s="269"/>
      <c r="G12" s="88"/>
      <c r="H12" s="88"/>
      <c r="I12" s="88"/>
      <c r="J12" s="88"/>
      <c r="K12" s="88"/>
      <c r="L12" s="88"/>
      <c r="M12" s="88"/>
      <c r="N12" s="88"/>
    </row>
    <row r="13" spans="3:17" x14ac:dyDescent="0.25">
      <c r="C13" s="100" t="s">
        <v>386</v>
      </c>
      <c r="D13" s="88"/>
      <c r="E13" s="138">
        <v>7.0000000000000007E-2</v>
      </c>
      <c r="F13" s="269"/>
      <c r="G13" s="88"/>
      <c r="H13" s="88"/>
      <c r="I13" s="88"/>
      <c r="J13" s="88"/>
      <c r="K13" s="88"/>
      <c r="L13" s="88"/>
      <c r="M13" s="88"/>
      <c r="N13" s="88"/>
    </row>
    <row r="14" spans="3:17" x14ac:dyDescent="0.25">
      <c r="C14" s="100" t="s">
        <v>6</v>
      </c>
      <c r="D14" s="88"/>
      <c r="E14" s="103"/>
      <c r="F14" s="269"/>
      <c r="G14" s="88"/>
      <c r="H14" s="88"/>
      <c r="I14" s="88"/>
      <c r="J14" s="88"/>
      <c r="K14" s="88"/>
      <c r="L14" s="88"/>
      <c r="M14" s="88"/>
      <c r="N14" s="88"/>
    </row>
    <row r="15" spans="3:17" x14ac:dyDescent="0.25">
      <c r="C15" s="100" t="s">
        <v>0</v>
      </c>
      <c r="D15" s="88"/>
      <c r="E15" s="195">
        <v>0.25</v>
      </c>
      <c r="F15" s="269"/>
      <c r="G15" s="88"/>
      <c r="H15" s="88"/>
      <c r="I15" s="88"/>
      <c r="J15" s="88"/>
      <c r="K15" s="88"/>
      <c r="L15" s="88"/>
      <c r="M15" s="88"/>
      <c r="N15" s="88"/>
    </row>
    <row r="16" spans="3:17" x14ac:dyDescent="0.25">
      <c r="C16" s="100" t="s">
        <v>1</v>
      </c>
      <c r="D16" s="88"/>
      <c r="E16" s="284">
        <v>0.21428571428571427</v>
      </c>
      <c r="F16" s="269"/>
      <c r="G16" s="88"/>
      <c r="H16" s="88"/>
      <c r="I16" s="88"/>
      <c r="J16" s="88"/>
      <c r="K16" s="88"/>
      <c r="L16" s="88"/>
      <c r="M16" s="88"/>
      <c r="N16" s="88"/>
    </row>
    <row r="17" spans="3:34" x14ac:dyDescent="0.25">
      <c r="C17" s="100" t="s">
        <v>2</v>
      </c>
      <c r="D17" s="88"/>
      <c r="E17" s="195">
        <v>0.17857142857142858</v>
      </c>
      <c r="F17" s="269"/>
      <c r="G17" s="88"/>
      <c r="H17" s="88"/>
      <c r="I17" s="88"/>
      <c r="J17" s="88"/>
      <c r="K17" s="88"/>
      <c r="L17" s="88"/>
      <c r="M17" s="88"/>
      <c r="N17" s="88"/>
    </row>
    <row r="18" spans="3:34" x14ac:dyDescent="0.25">
      <c r="C18" s="100" t="s">
        <v>3</v>
      </c>
      <c r="D18" s="88"/>
      <c r="E18" s="195">
        <v>0.14285714285714285</v>
      </c>
      <c r="F18" s="269"/>
      <c r="G18" s="88"/>
      <c r="H18" s="88"/>
      <c r="I18" s="88"/>
      <c r="J18" s="88"/>
      <c r="K18" s="88"/>
      <c r="L18" s="88"/>
      <c r="M18" s="88"/>
      <c r="N18" s="88"/>
    </row>
    <row r="19" spans="3:34" x14ac:dyDescent="0.25">
      <c r="C19" s="100" t="s">
        <v>38</v>
      </c>
      <c r="D19" s="88"/>
      <c r="E19" s="195">
        <v>0.10714285714285714</v>
      </c>
      <c r="F19" s="269"/>
      <c r="G19" s="88"/>
      <c r="H19" s="88"/>
      <c r="I19" s="88"/>
      <c r="J19" s="88"/>
      <c r="K19" s="88"/>
      <c r="L19" s="88"/>
      <c r="M19" s="88"/>
      <c r="N19" s="88"/>
    </row>
    <row r="20" spans="3:34" x14ac:dyDescent="0.25">
      <c r="C20" s="100" t="s">
        <v>126</v>
      </c>
      <c r="D20" s="88"/>
      <c r="E20" s="195">
        <v>7.1428571428571425E-2</v>
      </c>
      <c r="F20" s="269"/>
      <c r="G20" s="88"/>
      <c r="H20" s="88"/>
      <c r="I20" s="88"/>
      <c r="J20" s="88"/>
      <c r="K20" s="88"/>
      <c r="L20" s="88"/>
      <c r="M20" s="88"/>
      <c r="N20" s="88"/>
    </row>
    <row r="21" spans="3:34" x14ac:dyDescent="0.25">
      <c r="C21" s="100" t="s">
        <v>127</v>
      </c>
      <c r="D21" s="88"/>
      <c r="E21" s="195">
        <v>3.5714285714285712E-2</v>
      </c>
      <c r="F21" s="88"/>
      <c r="G21" s="88"/>
      <c r="H21" s="88"/>
      <c r="I21" s="88"/>
      <c r="J21" s="88"/>
      <c r="K21" s="88"/>
      <c r="L21" s="88"/>
      <c r="M21" s="88"/>
      <c r="N21" s="88"/>
    </row>
    <row r="22" spans="3:34" x14ac:dyDescent="0.25">
      <c r="C22" s="100" t="s">
        <v>175</v>
      </c>
      <c r="D22" s="88"/>
      <c r="E22" s="102">
        <v>0.34</v>
      </c>
      <c r="F22" s="90"/>
      <c r="G22" s="90"/>
      <c r="H22" s="90"/>
      <c r="I22" s="90"/>
      <c r="J22" s="90"/>
      <c r="K22" s="90"/>
      <c r="L22" s="90"/>
      <c r="M22" s="90"/>
      <c r="N22" s="90"/>
      <c r="AH22" s="86">
        <v>0.125</v>
      </c>
    </row>
    <row r="23" spans="3:34" x14ac:dyDescent="0.25">
      <c r="C23" s="100" t="s">
        <v>367</v>
      </c>
      <c r="D23" s="88">
        <v>50000</v>
      </c>
      <c r="E23" s="138"/>
      <c r="F23" s="271"/>
      <c r="G23" s="88"/>
      <c r="H23" s="203"/>
      <c r="I23" s="203"/>
      <c r="J23" s="203"/>
      <c r="K23" s="203"/>
      <c r="L23" s="88"/>
      <c r="M23" s="88"/>
      <c r="N23" s="88"/>
    </row>
    <row r="24" spans="3:34" x14ac:dyDescent="0.25">
      <c r="C24" s="100" t="s">
        <v>368</v>
      </c>
      <c r="D24" s="88">
        <v>100000</v>
      </c>
      <c r="E24" s="138"/>
      <c r="F24" s="271"/>
      <c r="G24" s="203"/>
      <c r="H24" s="203"/>
      <c r="I24" s="203"/>
      <c r="J24" s="203"/>
      <c r="K24" s="203"/>
      <c r="L24" s="88"/>
      <c r="M24" s="88"/>
      <c r="N24" s="88"/>
    </row>
    <row r="25" spans="3:34" x14ac:dyDescent="0.25">
      <c r="C25" s="100" t="s">
        <v>219</v>
      </c>
      <c r="D25" s="88">
        <f>1000000+100000</f>
        <v>1100000</v>
      </c>
      <c r="E25" s="195"/>
      <c r="F25" s="271"/>
      <c r="G25" s="203"/>
      <c r="H25" s="203"/>
      <c r="I25" s="203"/>
      <c r="J25" s="203"/>
      <c r="K25" s="203"/>
      <c r="L25" s="88"/>
      <c r="M25" s="88"/>
      <c r="N25" s="88"/>
    </row>
    <row r="26" spans="3:34" x14ac:dyDescent="0.25">
      <c r="C26" s="100" t="s">
        <v>313</v>
      </c>
      <c r="D26" s="88">
        <v>100000</v>
      </c>
      <c r="E26" s="103"/>
      <c r="F26" s="269"/>
      <c r="G26" s="88"/>
      <c r="H26" s="88"/>
      <c r="I26" s="88"/>
      <c r="J26" s="88"/>
      <c r="K26" s="88"/>
      <c r="L26" s="88"/>
      <c r="M26" s="88"/>
      <c r="N26" s="88"/>
    </row>
    <row r="27" spans="3:34" x14ac:dyDescent="0.25">
      <c r="C27" s="100" t="s">
        <v>43</v>
      </c>
      <c r="D27" s="88"/>
      <c r="E27" s="103"/>
      <c r="F27" s="88"/>
      <c r="G27" s="88"/>
      <c r="H27" s="88"/>
      <c r="I27" s="88"/>
      <c r="J27" s="88"/>
      <c r="K27" s="88"/>
      <c r="L27" s="88"/>
      <c r="M27" s="88"/>
      <c r="N27" s="88"/>
    </row>
    <row r="28" spans="3:34" x14ac:dyDescent="0.25">
      <c r="C28" s="100" t="s">
        <v>23</v>
      </c>
      <c r="D28" s="88">
        <v>50000</v>
      </c>
      <c r="E28" s="103"/>
      <c r="F28" s="88"/>
      <c r="G28" s="88"/>
      <c r="H28" s="88"/>
      <c r="I28" s="88"/>
      <c r="J28" s="88"/>
      <c r="K28" s="88"/>
      <c r="L28" s="88"/>
      <c r="M28" s="88"/>
      <c r="N28" s="88"/>
    </row>
    <row r="29" spans="3:34" x14ac:dyDescent="0.25">
      <c r="C29" s="100" t="s">
        <v>0</v>
      </c>
      <c r="D29" s="88">
        <v>25000</v>
      </c>
      <c r="E29" s="103"/>
      <c r="F29" s="88"/>
      <c r="G29" s="88"/>
      <c r="H29" s="88"/>
      <c r="I29" s="88"/>
      <c r="J29" s="88"/>
      <c r="K29" s="88"/>
      <c r="L29" s="88"/>
      <c r="M29" s="88"/>
      <c r="N29" s="88"/>
    </row>
    <row r="30" spans="3:34" x14ac:dyDescent="0.25">
      <c r="C30" s="100" t="s">
        <v>152</v>
      </c>
      <c r="D30" s="92">
        <v>0.08</v>
      </c>
      <c r="E30" s="103"/>
      <c r="F30" s="269"/>
      <c r="G30" s="88"/>
      <c r="H30" s="88"/>
      <c r="I30" s="88"/>
      <c r="J30" s="88"/>
      <c r="K30" s="88"/>
      <c r="L30" s="88"/>
      <c r="M30" s="88"/>
      <c r="N30" s="88"/>
    </row>
    <row r="31" spans="3:34" x14ac:dyDescent="0.25">
      <c r="C31" s="100" t="s">
        <v>19</v>
      </c>
      <c r="D31" s="88">
        <v>0.8</v>
      </c>
      <c r="E31" s="103"/>
      <c r="F31" s="269"/>
      <c r="G31" s="272"/>
      <c r="H31" s="88"/>
      <c r="I31" s="88"/>
      <c r="J31" s="88"/>
      <c r="K31" s="88"/>
      <c r="L31" s="88"/>
      <c r="M31" s="88"/>
      <c r="N31" s="88"/>
    </row>
    <row r="32" spans="3:34" x14ac:dyDescent="0.25">
      <c r="C32" s="104"/>
      <c r="D32" s="105"/>
      <c r="E32" s="106"/>
      <c r="F32" s="269"/>
      <c r="G32" s="272"/>
      <c r="H32" s="88"/>
      <c r="I32" s="88"/>
      <c r="J32" s="88"/>
      <c r="K32" s="88"/>
      <c r="L32" s="88"/>
      <c r="M32" s="88"/>
      <c r="N32" s="88"/>
      <c r="AC32" s="273"/>
    </row>
    <row r="33" spans="3:14" x14ac:dyDescent="0.25">
      <c r="G33" s="274"/>
    </row>
    <row r="35" spans="3:14" x14ac:dyDescent="0.25">
      <c r="C35" s="143" t="s">
        <v>168</v>
      </c>
      <c r="D35" s="71" t="s">
        <v>23</v>
      </c>
      <c r="E35" s="71" t="s">
        <v>0</v>
      </c>
      <c r="F35" s="71" t="s">
        <v>1</v>
      </c>
      <c r="G35" s="71" t="s">
        <v>2</v>
      </c>
      <c r="H35" s="71" t="s">
        <v>3</v>
      </c>
      <c r="I35" s="71" t="s">
        <v>38</v>
      </c>
      <c r="J35" s="71" t="s">
        <v>126</v>
      </c>
      <c r="K35" s="71" t="s">
        <v>127</v>
      </c>
      <c r="L35" s="71" t="s">
        <v>128</v>
      </c>
      <c r="M35" s="71" t="s">
        <v>129</v>
      </c>
      <c r="N35" s="72" t="s">
        <v>130</v>
      </c>
    </row>
    <row r="36" spans="3:14" x14ac:dyDescent="0.25">
      <c r="C36" s="100" t="s">
        <v>24</v>
      </c>
      <c r="D36" s="285"/>
      <c r="E36" s="285">
        <f>+E6+(E8*E9)</f>
        <v>444100</v>
      </c>
      <c r="F36" s="286">
        <f>+$E$6*(1+$E$7)+($E$8*(1+$E$10)*$E$9)</f>
        <v>446291</v>
      </c>
      <c r="G36" s="286">
        <f>+$E$6*(1+$E$7)^2+($E$8*(1+$E$10)*$E$9)</f>
        <v>461518.17000000004</v>
      </c>
      <c r="H36" s="286">
        <f>+$E$6*(1+$E$7)^3+($E$8*(1+$E$10)*$E$9)</f>
        <v>477811.24190000002</v>
      </c>
      <c r="I36" s="286">
        <f>+$E$6*(1+$E$7)^4+($E$8*(1+$E$10)*$E$9)</f>
        <v>495244.82883299998</v>
      </c>
      <c r="J36" s="286">
        <f>+$E$6*(1+$E$7)^5+($E$8*(1+$E$10)*$E$9)</f>
        <v>513898.76685131004</v>
      </c>
      <c r="K36" s="286">
        <f>+$E$6*(1+$E$7)^6+($E$8*(1+$E$10)*$E$9)</f>
        <v>533858.4805309017</v>
      </c>
      <c r="L36" s="286">
        <f>+$E$6*(1+$E$7)^7+($E$8*(1+$E$10)*$E$9)</f>
        <v>555215.37416806491</v>
      </c>
      <c r="M36" s="286">
        <f>+$E$6*(1+$E$7)^8+($E$8*(1+$E$10)*$E$9)</f>
        <v>578067.2503598294</v>
      </c>
      <c r="N36" s="287">
        <f>+$E$6*(1+$E$7)^9+($E$8*(1+$E$10)*$E$9)</f>
        <v>602518.75788501743</v>
      </c>
    </row>
    <row r="37" spans="3:14" x14ac:dyDescent="0.25">
      <c r="C37" s="100" t="s">
        <v>311</v>
      </c>
      <c r="D37" s="285"/>
      <c r="E37" s="285"/>
      <c r="F37" s="286"/>
      <c r="G37" s="288"/>
      <c r="H37" s="285"/>
      <c r="I37" s="285"/>
      <c r="J37" s="285"/>
      <c r="K37" s="285"/>
      <c r="L37" s="285"/>
      <c r="M37" s="285"/>
      <c r="N37" s="289">
        <f>+D26</f>
        <v>100000</v>
      </c>
    </row>
    <row r="38" spans="3:14" x14ac:dyDescent="0.25">
      <c r="C38" s="100" t="s">
        <v>25</v>
      </c>
      <c r="D38" s="285"/>
      <c r="E38" s="285">
        <f>-(+$E$11+$E$12)</f>
        <v>-80000</v>
      </c>
      <c r="F38" s="286">
        <f t="shared" ref="F38:N38" si="0">+E38*(1+$E$13)</f>
        <v>-85600</v>
      </c>
      <c r="G38" s="286">
        <f t="shared" si="0"/>
        <v>-91592</v>
      </c>
      <c r="H38" s="286">
        <f t="shared" si="0"/>
        <v>-98003.44</v>
      </c>
      <c r="I38" s="286">
        <f t="shared" si="0"/>
        <v>-104863.6808</v>
      </c>
      <c r="J38" s="286">
        <f t="shared" si="0"/>
        <v>-112204.13845600002</v>
      </c>
      <c r="K38" s="286">
        <f t="shared" si="0"/>
        <v>-120058.42814792003</v>
      </c>
      <c r="L38" s="286">
        <f t="shared" si="0"/>
        <v>-128462.51811827444</v>
      </c>
      <c r="M38" s="286">
        <f t="shared" si="0"/>
        <v>-137454.89438655367</v>
      </c>
      <c r="N38" s="287">
        <f t="shared" si="0"/>
        <v>-147076.73699361243</v>
      </c>
    </row>
    <row r="39" spans="3:14" x14ac:dyDescent="0.25">
      <c r="C39" s="100" t="s">
        <v>6</v>
      </c>
      <c r="D39" s="285"/>
      <c r="E39" s="285">
        <f>-$D$25*E15</f>
        <v>-275000</v>
      </c>
      <c r="F39" s="285">
        <f>-$D$25*E16</f>
        <v>-235714.28571428571</v>
      </c>
      <c r="G39" s="285">
        <f>-$D$25*E17</f>
        <v>-196428.57142857142</v>
      </c>
      <c r="H39" s="285">
        <f>-$D$25*E18</f>
        <v>-157142.85714285713</v>
      </c>
      <c r="I39" s="285">
        <f>-$D$25*E19</f>
        <v>-117857.14285714286</v>
      </c>
      <c r="J39" s="285">
        <f>-$D$25*E20</f>
        <v>-78571.428571428565</v>
      </c>
      <c r="K39" s="285">
        <f>-$D$25*E21</f>
        <v>-39285.714285714283</v>
      </c>
      <c r="L39" s="285"/>
      <c r="M39" s="285"/>
      <c r="N39" s="289"/>
    </row>
    <row r="40" spans="3:14" x14ac:dyDescent="0.25">
      <c r="C40" s="100" t="s">
        <v>131</v>
      </c>
      <c r="D40" s="285"/>
      <c r="E40" s="285">
        <f t="shared" ref="E40:N40" si="1">-SUM(E36:E39)*$E$22</f>
        <v>-30294.000000000004</v>
      </c>
      <c r="F40" s="285">
        <f t="shared" si="1"/>
        <v>-42492.082857142865</v>
      </c>
      <c r="G40" s="285">
        <f t="shared" si="1"/>
        <v>-58989.183514285738</v>
      </c>
      <c r="H40" s="285">
        <f t="shared" si="1"/>
        <v>-75706.081217428582</v>
      </c>
      <c r="I40" s="285">
        <f t="shared" si="1"/>
        <v>-92658.161759791416</v>
      </c>
      <c r="J40" s="285">
        <f t="shared" si="1"/>
        <v>-109861.8879401197</v>
      </c>
      <c r="K40" s="285">
        <f t="shared" si="1"/>
        <v>-127334.87495307092</v>
      </c>
      <c r="L40" s="285">
        <f t="shared" si="1"/>
        <v>-145095.97105692877</v>
      </c>
      <c r="M40" s="285">
        <f t="shared" si="1"/>
        <v>-149808.20103091377</v>
      </c>
      <c r="N40" s="289">
        <f t="shared" si="1"/>
        <v>-188850.28710307769</v>
      </c>
    </row>
    <row r="41" spans="3:14" x14ac:dyDescent="0.25">
      <c r="C41" s="268" t="s">
        <v>26</v>
      </c>
      <c r="D41" s="290"/>
      <c r="E41" s="290">
        <f t="shared" ref="E41:N41" si="2">SUM(E36:E40)</f>
        <v>58806</v>
      </c>
      <c r="F41" s="290">
        <f t="shared" si="2"/>
        <v>82484.631428571418</v>
      </c>
      <c r="G41" s="290">
        <f t="shared" si="2"/>
        <v>114508.41505714288</v>
      </c>
      <c r="H41" s="290">
        <f t="shared" si="2"/>
        <v>146958.86353971431</v>
      </c>
      <c r="I41" s="290">
        <f t="shared" si="2"/>
        <v>179865.84341606568</v>
      </c>
      <c r="J41" s="290">
        <f t="shared" si="2"/>
        <v>213261.31188376172</v>
      </c>
      <c r="K41" s="290">
        <f t="shared" si="2"/>
        <v>247179.46314419646</v>
      </c>
      <c r="L41" s="290">
        <f t="shared" si="2"/>
        <v>281656.88499286165</v>
      </c>
      <c r="M41" s="290">
        <f t="shared" si="2"/>
        <v>290804.15494236199</v>
      </c>
      <c r="N41" s="291">
        <f t="shared" si="2"/>
        <v>366591.73378832726</v>
      </c>
    </row>
    <row r="42" spans="3:14" x14ac:dyDescent="0.25">
      <c r="D42" s="275"/>
      <c r="E42" s="275"/>
      <c r="F42" s="276"/>
      <c r="G42" s="275"/>
      <c r="H42" s="275"/>
      <c r="I42" s="275"/>
      <c r="J42" s="275"/>
      <c r="K42" s="275"/>
      <c r="L42" s="275"/>
      <c r="M42" s="275"/>
      <c r="N42" s="275"/>
    </row>
    <row r="43" spans="3:14" x14ac:dyDescent="0.25">
      <c r="C43" s="143" t="s">
        <v>95</v>
      </c>
      <c r="D43" s="71" t="s">
        <v>23</v>
      </c>
      <c r="E43" s="71" t="s">
        <v>0</v>
      </c>
      <c r="F43" s="71" t="s">
        <v>1</v>
      </c>
      <c r="G43" s="71" t="s">
        <v>2</v>
      </c>
      <c r="H43" s="71" t="s">
        <v>3</v>
      </c>
      <c r="I43" s="71" t="s">
        <v>38</v>
      </c>
      <c r="J43" s="71" t="s">
        <v>126</v>
      </c>
      <c r="K43" s="71" t="s">
        <v>127</v>
      </c>
      <c r="L43" s="71" t="s">
        <v>128</v>
      </c>
      <c r="M43" s="71" t="s">
        <v>129</v>
      </c>
      <c r="N43" s="72" t="s">
        <v>130</v>
      </c>
    </row>
    <row r="44" spans="3:14" x14ac:dyDescent="0.25">
      <c r="C44" s="100" t="s">
        <v>24</v>
      </c>
      <c r="D44" s="285"/>
      <c r="E44" s="285">
        <f t="shared" ref="E44:N44" si="3">+E36</f>
        <v>444100</v>
      </c>
      <c r="F44" s="285">
        <f t="shared" si="3"/>
        <v>446291</v>
      </c>
      <c r="G44" s="285">
        <f t="shared" si="3"/>
        <v>461518.17000000004</v>
      </c>
      <c r="H44" s="285">
        <f t="shared" si="3"/>
        <v>477811.24190000002</v>
      </c>
      <c r="I44" s="285">
        <f t="shared" si="3"/>
        <v>495244.82883299998</v>
      </c>
      <c r="J44" s="285">
        <f t="shared" si="3"/>
        <v>513898.76685131004</v>
      </c>
      <c r="K44" s="285">
        <f t="shared" si="3"/>
        <v>533858.4805309017</v>
      </c>
      <c r="L44" s="285">
        <f t="shared" si="3"/>
        <v>555215.37416806491</v>
      </c>
      <c r="M44" s="285">
        <f t="shared" si="3"/>
        <v>578067.2503598294</v>
      </c>
      <c r="N44" s="289">
        <f t="shared" si="3"/>
        <v>602518.75788501743</v>
      </c>
    </row>
    <row r="45" spans="3:14" x14ac:dyDescent="0.25">
      <c r="C45" s="100" t="s">
        <v>133</v>
      </c>
      <c r="D45" s="285"/>
      <c r="E45" s="285"/>
      <c r="F45" s="286"/>
      <c r="G45" s="285"/>
      <c r="H45" s="285"/>
      <c r="I45" s="285"/>
      <c r="J45" s="285"/>
      <c r="K45" s="285"/>
      <c r="L45" s="285"/>
      <c r="M45" s="285"/>
      <c r="N45" s="289">
        <f>+N37</f>
        <v>100000</v>
      </c>
    </row>
    <row r="46" spans="3:14" x14ac:dyDescent="0.25">
      <c r="C46" s="100" t="s">
        <v>96</v>
      </c>
      <c r="D46" s="285"/>
      <c r="E46" s="285"/>
      <c r="F46" s="286"/>
      <c r="G46" s="285"/>
      <c r="H46" s="285"/>
      <c r="I46" s="285"/>
      <c r="J46" s="285"/>
      <c r="K46" s="285"/>
      <c r="L46" s="285"/>
      <c r="M46" s="285"/>
      <c r="N46" s="289">
        <f>-SUM(D52:M52)</f>
        <v>75000</v>
      </c>
    </row>
    <row r="47" spans="3:14" x14ac:dyDescent="0.25">
      <c r="C47" s="100" t="s">
        <v>25</v>
      </c>
      <c r="D47" s="285"/>
      <c r="E47" s="285">
        <f t="shared" ref="E47:N47" si="4">+E38</f>
        <v>-80000</v>
      </c>
      <c r="F47" s="285">
        <f t="shared" si="4"/>
        <v>-85600</v>
      </c>
      <c r="G47" s="285">
        <f t="shared" si="4"/>
        <v>-91592</v>
      </c>
      <c r="H47" s="285">
        <f t="shared" si="4"/>
        <v>-98003.44</v>
      </c>
      <c r="I47" s="285">
        <f t="shared" si="4"/>
        <v>-104863.6808</v>
      </c>
      <c r="J47" s="285">
        <f t="shared" si="4"/>
        <v>-112204.13845600002</v>
      </c>
      <c r="K47" s="285">
        <f t="shared" si="4"/>
        <v>-120058.42814792003</v>
      </c>
      <c r="L47" s="285">
        <f t="shared" si="4"/>
        <v>-128462.51811827444</v>
      </c>
      <c r="M47" s="285">
        <f t="shared" si="4"/>
        <v>-137454.89438655367</v>
      </c>
      <c r="N47" s="289">
        <f t="shared" si="4"/>
        <v>-147076.73699361243</v>
      </c>
    </row>
    <row r="48" spans="3:14" x14ac:dyDescent="0.25">
      <c r="C48" s="100" t="s">
        <v>131</v>
      </c>
      <c r="D48" s="285"/>
      <c r="E48" s="285">
        <f t="shared" ref="E48:N48" si="5">+E40</f>
        <v>-30294.000000000004</v>
      </c>
      <c r="F48" s="285">
        <f t="shared" si="5"/>
        <v>-42492.082857142865</v>
      </c>
      <c r="G48" s="285">
        <f t="shared" si="5"/>
        <v>-58989.183514285738</v>
      </c>
      <c r="H48" s="285">
        <f t="shared" si="5"/>
        <v>-75706.081217428582</v>
      </c>
      <c r="I48" s="285">
        <f t="shared" si="5"/>
        <v>-92658.161759791416</v>
      </c>
      <c r="J48" s="285">
        <f t="shared" si="5"/>
        <v>-109861.8879401197</v>
      </c>
      <c r="K48" s="285">
        <f t="shared" si="5"/>
        <v>-127334.87495307092</v>
      </c>
      <c r="L48" s="285">
        <f t="shared" si="5"/>
        <v>-145095.97105692877</v>
      </c>
      <c r="M48" s="285">
        <f t="shared" si="5"/>
        <v>-149808.20103091377</v>
      </c>
      <c r="N48" s="289">
        <f t="shared" si="5"/>
        <v>-188850.28710307769</v>
      </c>
    </row>
    <row r="49" spans="3:22" x14ac:dyDescent="0.25">
      <c r="C49" s="100" t="s">
        <v>134</v>
      </c>
      <c r="D49" s="285">
        <f>-(D24-((D24-D23)*E22))</f>
        <v>-83000</v>
      </c>
      <c r="E49" s="285"/>
      <c r="F49" s="286"/>
      <c r="G49" s="285"/>
      <c r="H49" s="285"/>
      <c r="I49" s="285"/>
      <c r="J49" s="285"/>
      <c r="K49" s="285"/>
      <c r="L49" s="285"/>
      <c r="M49" s="285"/>
      <c r="N49" s="289"/>
      <c r="Q49" s="94"/>
    </row>
    <row r="50" spans="3:22" x14ac:dyDescent="0.25">
      <c r="C50" s="100" t="s">
        <v>27</v>
      </c>
      <c r="D50" s="285">
        <f t="shared" ref="D50:N50" si="6">SUM(D51:D52)</f>
        <v>-1150000</v>
      </c>
      <c r="E50" s="285">
        <f t="shared" si="6"/>
        <v>-25000</v>
      </c>
      <c r="F50" s="285">
        <f t="shared" si="6"/>
        <v>0</v>
      </c>
      <c r="G50" s="285">
        <f t="shared" si="6"/>
        <v>0</v>
      </c>
      <c r="H50" s="285">
        <f t="shared" si="6"/>
        <v>0</v>
      </c>
      <c r="I50" s="285">
        <f t="shared" si="6"/>
        <v>0</v>
      </c>
      <c r="J50" s="285">
        <f t="shared" si="6"/>
        <v>0</v>
      </c>
      <c r="K50" s="285">
        <f t="shared" si="6"/>
        <v>0</v>
      </c>
      <c r="L50" s="285">
        <f t="shared" si="6"/>
        <v>0</v>
      </c>
      <c r="M50" s="285">
        <f t="shared" si="6"/>
        <v>0</v>
      </c>
      <c r="N50" s="289">
        <f t="shared" si="6"/>
        <v>0</v>
      </c>
      <c r="P50" s="219" t="s">
        <v>164</v>
      </c>
      <c r="Q50" s="134">
        <f>1/(1+D31)</f>
        <v>0.55555555555555558</v>
      </c>
    </row>
    <row r="51" spans="3:22" x14ac:dyDescent="0.25">
      <c r="C51" s="100" t="s">
        <v>28</v>
      </c>
      <c r="D51" s="285">
        <f>-D25</f>
        <v>-1100000</v>
      </c>
      <c r="E51" s="285"/>
      <c r="F51" s="286"/>
      <c r="G51" s="285"/>
      <c r="H51" s="285"/>
      <c r="I51" s="285"/>
      <c r="J51" s="285"/>
      <c r="K51" s="285"/>
      <c r="L51" s="285"/>
      <c r="M51" s="285"/>
      <c r="N51" s="289"/>
      <c r="P51" s="219" t="s">
        <v>161</v>
      </c>
      <c r="Q51" s="133">
        <f>1-Q50</f>
        <v>0.44444444444444442</v>
      </c>
    </row>
    <row r="52" spans="3:22" x14ac:dyDescent="0.25">
      <c r="C52" s="100" t="s">
        <v>29</v>
      </c>
      <c r="D52" s="285">
        <f>-D28</f>
        <v>-50000</v>
      </c>
      <c r="E52" s="285">
        <f>-D29</f>
        <v>-25000</v>
      </c>
      <c r="F52" s="286"/>
      <c r="G52" s="285"/>
      <c r="H52" s="285"/>
      <c r="I52" s="285"/>
      <c r="J52" s="285"/>
      <c r="K52" s="285"/>
      <c r="L52" s="285"/>
      <c r="M52" s="285"/>
      <c r="N52" s="289"/>
    </row>
    <row r="53" spans="3:22" x14ac:dyDescent="0.25">
      <c r="C53" s="292" t="s">
        <v>98</v>
      </c>
      <c r="D53" s="293">
        <f t="shared" ref="D53:N53" si="7">SUM(D44:D50)</f>
        <v>-1233000</v>
      </c>
      <c r="E53" s="293">
        <f t="shared" si="7"/>
        <v>308806</v>
      </c>
      <c r="F53" s="293">
        <f t="shared" si="7"/>
        <v>318198.91714285716</v>
      </c>
      <c r="G53" s="293">
        <f t="shared" si="7"/>
        <v>310936.98648571433</v>
      </c>
      <c r="H53" s="293">
        <f t="shared" si="7"/>
        <v>304101.72068257141</v>
      </c>
      <c r="I53" s="293">
        <f t="shared" si="7"/>
        <v>297722.98627320852</v>
      </c>
      <c r="J53" s="293">
        <f t="shared" si="7"/>
        <v>291832.7404551903</v>
      </c>
      <c r="K53" s="293">
        <f t="shared" si="7"/>
        <v>286465.17742991075</v>
      </c>
      <c r="L53" s="293">
        <f t="shared" si="7"/>
        <v>281656.88499286165</v>
      </c>
      <c r="M53" s="293">
        <f t="shared" si="7"/>
        <v>290804.15494236199</v>
      </c>
      <c r="N53" s="294">
        <f t="shared" si="7"/>
        <v>441591.73378832726</v>
      </c>
      <c r="P53" s="310"/>
      <c r="Q53" s="71" t="s">
        <v>23</v>
      </c>
      <c r="R53" s="71" t="s">
        <v>0</v>
      </c>
      <c r="S53" s="71" t="s">
        <v>1</v>
      </c>
      <c r="T53" s="71" t="s">
        <v>2</v>
      </c>
      <c r="U53" s="71" t="s">
        <v>3</v>
      </c>
      <c r="V53" s="72" t="s">
        <v>38</v>
      </c>
    </row>
    <row r="54" spans="3:22" x14ac:dyDescent="0.25">
      <c r="C54" s="100" t="s">
        <v>136</v>
      </c>
      <c r="D54" s="285"/>
      <c r="E54" s="285">
        <f>-R57</f>
        <v>-128011.07677860536</v>
      </c>
      <c r="F54" s="285">
        <f>-S57</f>
        <v>-128011.07677860536</v>
      </c>
      <c r="G54" s="285">
        <f>-T57</f>
        <v>-128011.07677860536</v>
      </c>
      <c r="H54" s="285">
        <f>-U57</f>
        <v>-128011.07677860536</v>
      </c>
      <c r="I54" s="285">
        <f>-V57</f>
        <v>-128011.07677860536</v>
      </c>
      <c r="J54" s="285"/>
      <c r="K54" s="285"/>
      <c r="L54" s="285"/>
      <c r="M54" s="285"/>
      <c r="N54" s="289"/>
      <c r="P54" s="100" t="s">
        <v>58</v>
      </c>
      <c r="Q54" s="183">
        <f>-D50*Q51</f>
        <v>511111.11111111107</v>
      </c>
      <c r="R54" s="88">
        <f>+Q54-R55</f>
        <v>423988.92322139459</v>
      </c>
      <c r="S54" s="88">
        <f>+R54-S55</f>
        <v>329896.9603005008</v>
      </c>
      <c r="T54" s="88">
        <f>+S54-T55</f>
        <v>228277.64034593551</v>
      </c>
      <c r="U54" s="88">
        <f>+T54-U55</f>
        <v>118528.77479500498</v>
      </c>
      <c r="V54" s="103">
        <f>+U54-V55</f>
        <v>0</v>
      </c>
    </row>
    <row r="55" spans="3:22" x14ac:dyDescent="0.25">
      <c r="C55" s="100" t="s">
        <v>137</v>
      </c>
      <c r="D55" s="285"/>
      <c r="E55" s="285">
        <f>+R56*$E$22</f>
        <v>13902.222222222221</v>
      </c>
      <c r="F55" s="285">
        <f>+S56*$E$22</f>
        <v>11532.498711621934</v>
      </c>
      <c r="G55" s="285">
        <f>+T56*$E$22</f>
        <v>8973.1973201736237</v>
      </c>
      <c r="H55" s="285">
        <f>+U56*$E$22</f>
        <v>6209.1518174094463</v>
      </c>
      <c r="I55" s="285">
        <f>+V56*$E$22</f>
        <v>3223.9826744241359</v>
      </c>
      <c r="J55" s="285"/>
      <c r="K55" s="285"/>
      <c r="L55" s="285"/>
      <c r="M55" s="285"/>
      <c r="N55" s="289"/>
      <c r="P55" s="100" t="s">
        <v>55</v>
      </c>
      <c r="Q55" s="88"/>
      <c r="R55" s="88">
        <f>+R57-R56</f>
        <v>87122.187889716472</v>
      </c>
      <c r="S55" s="88">
        <f>+S57-S56</f>
        <v>94091.962920893799</v>
      </c>
      <c r="T55" s="88">
        <f>+T57-T56</f>
        <v>101619.31995456529</v>
      </c>
      <c r="U55" s="88">
        <f>+U57-U56</f>
        <v>109748.86555093052</v>
      </c>
      <c r="V55" s="103">
        <f>+V57-V56</f>
        <v>118528.77479500497</v>
      </c>
    </row>
    <row r="56" spans="3:22" x14ac:dyDescent="0.25">
      <c r="C56" s="100" t="s">
        <v>158</v>
      </c>
      <c r="D56" s="285">
        <f>+Q54</f>
        <v>511111.11111111107</v>
      </c>
      <c r="E56" s="285"/>
      <c r="F56" s="286"/>
      <c r="G56" s="285"/>
      <c r="H56" s="285"/>
      <c r="I56" s="285"/>
      <c r="J56" s="285"/>
      <c r="K56" s="285"/>
      <c r="L56" s="285"/>
      <c r="M56" s="285"/>
      <c r="N56" s="289"/>
      <c r="P56" s="100" t="s">
        <v>56</v>
      </c>
      <c r="Q56" s="88"/>
      <c r="R56" s="88">
        <f>+Q54*$D$30</f>
        <v>40888.888888888883</v>
      </c>
      <c r="S56" s="88">
        <f>+R54*$D$30</f>
        <v>33919.113857711571</v>
      </c>
      <c r="T56" s="88">
        <f>+S54*$D$30</f>
        <v>26391.756824040065</v>
      </c>
      <c r="U56" s="88">
        <f>+T54*$D$30</f>
        <v>18262.211227674841</v>
      </c>
      <c r="V56" s="103">
        <f>+U54*$D$30</f>
        <v>9482.3019836003987</v>
      </c>
    </row>
    <row r="57" spans="3:22" x14ac:dyDescent="0.25">
      <c r="C57" s="295" t="s">
        <v>248</v>
      </c>
      <c r="D57" s="293">
        <f t="shared" ref="D57:I57" si="8">SUM(D54:D56)</f>
        <v>511111.11111111107</v>
      </c>
      <c r="E57" s="293">
        <f t="shared" si="8"/>
        <v>-114108.85455638314</v>
      </c>
      <c r="F57" s="293">
        <f t="shared" si="8"/>
        <v>-116478.57806698343</v>
      </c>
      <c r="G57" s="293">
        <f t="shared" si="8"/>
        <v>-119037.87945843174</v>
      </c>
      <c r="H57" s="293">
        <f t="shared" si="8"/>
        <v>-121801.92496119591</v>
      </c>
      <c r="I57" s="293">
        <f t="shared" si="8"/>
        <v>-124787.09410418123</v>
      </c>
      <c r="J57" s="293"/>
      <c r="K57" s="293"/>
      <c r="L57" s="293"/>
      <c r="M57" s="293"/>
      <c r="N57" s="294"/>
      <c r="P57" s="268" t="s">
        <v>135</v>
      </c>
      <c r="Q57" s="311"/>
      <c r="R57" s="311">
        <f>PMT($D$30,5,-$Q$54)</f>
        <v>128011.07677860536</v>
      </c>
      <c r="S57" s="311">
        <f>PMT($D$30,5,-$Q$54)</f>
        <v>128011.07677860536</v>
      </c>
      <c r="T57" s="311">
        <f>PMT($D$30,5,-$Q$54)</f>
        <v>128011.07677860536</v>
      </c>
      <c r="U57" s="311">
        <f>PMT($D$30,5,-$Q$54)</f>
        <v>128011.07677860536</v>
      </c>
      <c r="V57" s="312">
        <f>PMT($D$30,5,-$Q$54)</f>
        <v>128011.07677860536</v>
      </c>
    </row>
    <row r="58" spans="3:22" x14ac:dyDescent="0.25">
      <c r="C58" s="137" t="s">
        <v>139</v>
      </c>
      <c r="D58" s="290">
        <f t="shared" ref="D58:N58" si="9">+D53+D57</f>
        <v>-721888.88888888899</v>
      </c>
      <c r="E58" s="290">
        <f t="shared" si="9"/>
        <v>194697.14544361684</v>
      </c>
      <c r="F58" s="290">
        <f t="shared" si="9"/>
        <v>201720.33907587372</v>
      </c>
      <c r="G58" s="290">
        <f t="shared" si="9"/>
        <v>191899.10702728259</v>
      </c>
      <c r="H58" s="290">
        <f t="shared" si="9"/>
        <v>182299.7957213755</v>
      </c>
      <c r="I58" s="290">
        <f t="shared" si="9"/>
        <v>172935.8921690273</v>
      </c>
      <c r="J58" s="290">
        <f t="shared" si="9"/>
        <v>291832.7404551903</v>
      </c>
      <c r="K58" s="290">
        <f t="shared" si="9"/>
        <v>286465.17742991075</v>
      </c>
      <c r="L58" s="290">
        <f t="shared" si="9"/>
        <v>281656.88499286165</v>
      </c>
      <c r="M58" s="290">
        <f t="shared" si="9"/>
        <v>290804.15494236199</v>
      </c>
      <c r="N58" s="291">
        <f t="shared" si="9"/>
        <v>441591.73378832726</v>
      </c>
    </row>
    <row r="62" spans="3:22" x14ac:dyDescent="0.25">
      <c r="C62" s="684" t="s">
        <v>314</v>
      </c>
      <c r="D62" s="684" t="s">
        <v>12</v>
      </c>
      <c r="E62" s="296" t="s">
        <v>315</v>
      </c>
      <c r="F62" s="296" t="s">
        <v>316</v>
      </c>
      <c r="G62" s="296" t="s">
        <v>316</v>
      </c>
      <c r="H62" s="296" t="s">
        <v>149</v>
      </c>
    </row>
    <row r="63" spans="3:22" x14ac:dyDescent="0.25">
      <c r="C63" s="685"/>
      <c r="D63" s="685"/>
      <c r="E63" s="297" t="s">
        <v>243</v>
      </c>
      <c r="F63" s="297" t="s">
        <v>317</v>
      </c>
      <c r="G63" s="297" t="s">
        <v>319</v>
      </c>
      <c r="H63" s="297" t="s">
        <v>316</v>
      </c>
    </row>
    <row r="64" spans="3:22" x14ac:dyDescent="0.25">
      <c r="C64" s="686"/>
      <c r="D64" s="686"/>
      <c r="E64" s="298" t="s">
        <v>318</v>
      </c>
      <c r="F64" s="298" t="s">
        <v>318</v>
      </c>
      <c r="G64" s="298" t="s">
        <v>320</v>
      </c>
      <c r="H64" s="298" t="s">
        <v>321</v>
      </c>
    </row>
    <row r="65" spans="3:13" x14ac:dyDescent="0.25">
      <c r="C65" s="160" t="s">
        <v>322</v>
      </c>
      <c r="D65" s="277">
        <v>1.3</v>
      </c>
      <c r="E65" s="160">
        <v>28.5</v>
      </c>
      <c r="F65" s="278" t="s">
        <v>330</v>
      </c>
      <c r="G65" s="160">
        <v>31</v>
      </c>
      <c r="H65" s="279">
        <v>22.75</v>
      </c>
    </row>
    <row r="66" spans="3:13" x14ac:dyDescent="0.25">
      <c r="C66" s="160" t="s">
        <v>323</v>
      </c>
      <c r="D66" s="277">
        <v>0.95</v>
      </c>
      <c r="E66" s="160">
        <v>54.7</v>
      </c>
      <c r="F66" s="278" t="s">
        <v>330</v>
      </c>
      <c r="G66" s="160">
        <v>42.3</v>
      </c>
      <c r="H66" s="279">
        <v>19</v>
      </c>
    </row>
    <row r="67" spans="3:13" x14ac:dyDescent="0.25">
      <c r="C67" s="160" t="s">
        <v>324</v>
      </c>
      <c r="D67" s="277">
        <v>1.7</v>
      </c>
      <c r="E67" s="160">
        <v>104.7</v>
      </c>
      <c r="F67" s="278" t="s">
        <v>330</v>
      </c>
      <c r="G67" s="160">
        <v>72.099999999999994</v>
      </c>
      <c r="H67" s="279">
        <v>15.125</v>
      </c>
    </row>
    <row r="68" spans="3:13" x14ac:dyDescent="0.25">
      <c r="C68" s="160" t="s">
        <v>325</v>
      </c>
      <c r="D68" s="277">
        <v>1.1499999999999999</v>
      </c>
      <c r="E68" s="160">
        <v>86.7</v>
      </c>
      <c r="F68" s="278" t="s">
        <v>330</v>
      </c>
      <c r="G68" s="160">
        <v>18.399999999999999</v>
      </c>
      <c r="H68" s="279">
        <v>16</v>
      </c>
    </row>
    <row r="69" spans="3:13" x14ac:dyDescent="0.25">
      <c r="C69" s="160" t="s">
        <v>326</v>
      </c>
      <c r="D69" s="277">
        <v>1</v>
      </c>
      <c r="E69" s="160">
        <v>4820.1000000000004</v>
      </c>
      <c r="F69" s="160">
        <v>411.1</v>
      </c>
      <c r="G69" s="160">
        <v>694</v>
      </c>
      <c r="H69" s="279">
        <v>45.125</v>
      </c>
    </row>
    <row r="70" spans="3:13" x14ac:dyDescent="0.25">
      <c r="C70" s="160" t="s">
        <v>327</v>
      </c>
      <c r="D70" s="277">
        <v>0.8</v>
      </c>
      <c r="E70" s="160">
        <v>81.400000000000006</v>
      </c>
      <c r="F70" s="278" t="s">
        <v>330</v>
      </c>
      <c r="G70" s="160">
        <v>24.5</v>
      </c>
      <c r="H70" s="279">
        <v>7.25</v>
      </c>
    </row>
    <row r="71" spans="3:13" x14ac:dyDescent="0.25">
      <c r="C71" s="160" t="s">
        <v>328</v>
      </c>
      <c r="D71" s="277">
        <v>0.9</v>
      </c>
      <c r="E71" s="160">
        <v>440.4</v>
      </c>
      <c r="F71" s="278" t="s">
        <v>330</v>
      </c>
      <c r="G71" s="160">
        <v>41.5</v>
      </c>
      <c r="H71" s="279">
        <v>10.25</v>
      </c>
    </row>
    <row r="72" spans="3:13" x14ac:dyDescent="0.25">
      <c r="C72" s="280" t="s">
        <v>329</v>
      </c>
      <c r="D72" s="23">
        <v>1.1499999999999999</v>
      </c>
      <c r="E72" s="280">
        <v>147</v>
      </c>
      <c r="F72" s="281" t="s">
        <v>330</v>
      </c>
      <c r="G72" s="280">
        <v>103.4</v>
      </c>
      <c r="H72" s="282">
        <v>21.25</v>
      </c>
    </row>
    <row r="76" spans="3:13" ht="14.4" customHeight="1" x14ac:dyDescent="0.25">
      <c r="C76" s="265"/>
      <c r="D76" s="684" t="s">
        <v>121</v>
      </c>
      <c r="E76" s="303" t="s">
        <v>315</v>
      </c>
      <c r="F76" s="304" t="s">
        <v>316</v>
      </c>
      <c r="G76" s="303" t="s">
        <v>316</v>
      </c>
      <c r="H76" s="684" t="s">
        <v>19</v>
      </c>
      <c r="I76" s="255"/>
    </row>
    <row r="77" spans="3:13" x14ac:dyDescent="0.25">
      <c r="C77" s="305"/>
      <c r="D77" s="685"/>
      <c r="E77" s="299" t="s">
        <v>243</v>
      </c>
      <c r="F77" s="300" t="s">
        <v>317</v>
      </c>
      <c r="G77" s="299" t="s">
        <v>319</v>
      </c>
      <c r="H77" s="685"/>
      <c r="I77" s="306"/>
    </row>
    <row r="78" spans="3:13" ht="15" customHeight="1" x14ac:dyDescent="0.25">
      <c r="C78" s="302"/>
      <c r="D78" s="686"/>
      <c r="E78" s="301" t="s">
        <v>318</v>
      </c>
      <c r="F78" s="302" t="s">
        <v>318</v>
      </c>
      <c r="G78" s="301" t="s">
        <v>318</v>
      </c>
      <c r="H78" s="686"/>
      <c r="I78" s="307"/>
      <c r="K78" s="314" t="s">
        <v>257</v>
      </c>
      <c r="L78" s="315">
        <v>0.6</v>
      </c>
      <c r="M78" s="316" t="s">
        <v>258</v>
      </c>
    </row>
    <row r="79" spans="3:13" x14ac:dyDescent="0.25">
      <c r="C79" s="20" t="s">
        <v>140</v>
      </c>
      <c r="D79" s="20">
        <v>1.3</v>
      </c>
      <c r="E79" s="100">
        <f>28.5*0.6*0.9</f>
        <v>15.389999999999999</v>
      </c>
      <c r="F79" s="283"/>
      <c r="G79" s="88">
        <f t="shared" ref="G79:G86" si="10">+G65*H65</f>
        <v>705.25</v>
      </c>
      <c r="H79" s="277">
        <f t="shared" ref="H79:H86" si="11">+E79/(G79+F79)</f>
        <v>2.1822048918823111E-2</v>
      </c>
      <c r="I79" s="244">
        <f t="shared" ref="I79:I86" si="12">+(1/(1+(H79*(1-$L$81))))*D79</f>
        <v>1.2804407121000303</v>
      </c>
      <c r="K79" s="124"/>
      <c r="L79" s="317">
        <v>0.9</v>
      </c>
      <c r="M79" s="318" t="s">
        <v>259</v>
      </c>
    </row>
    <row r="80" spans="3:13" x14ac:dyDescent="0.25">
      <c r="C80" s="20" t="s">
        <v>141</v>
      </c>
      <c r="D80" s="20">
        <v>0.95</v>
      </c>
      <c r="E80" s="100">
        <f>54.7*0.6*0.9</f>
        <v>29.538</v>
      </c>
      <c r="F80" s="283"/>
      <c r="G80" s="88">
        <f t="shared" si="10"/>
        <v>803.69999999999993</v>
      </c>
      <c r="H80" s="277">
        <f t="shared" si="11"/>
        <v>3.6752519596864507E-2</v>
      </c>
      <c r="I80" s="244">
        <f t="shared" si="12"/>
        <v>0.92617257695087418</v>
      </c>
      <c r="K80" s="319" t="s">
        <v>260</v>
      </c>
      <c r="L80" s="320" t="s">
        <v>256</v>
      </c>
      <c r="M80" s="318"/>
    </row>
    <row r="81" spans="3:13" x14ac:dyDescent="0.25">
      <c r="C81" s="20" t="s">
        <v>142</v>
      </c>
      <c r="D81" s="20">
        <v>1.7</v>
      </c>
      <c r="E81" s="100">
        <f>104.7*0.6*0.9</f>
        <v>56.538000000000004</v>
      </c>
      <c r="F81" s="283"/>
      <c r="G81" s="88">
        <f t="shared" si="10"/>
        <v>1090.5124999999998</v>
      </c>
      <c r="H81" s="277">
        <f t="shared" si="11"/>
        <v>5.1845347944200558E-2</v>
      </c>
      <c r="I81" s="244">
        <f t="shared" si="12"/>
        <v>1.640464676634789</v>
      </c>
      <c r="K81" s="321" t="s">
        <v>261</v>
      </c>
      <c r="L81" s="322">
        <v>0.3</v>
      </c>
      <c r="M81" s="323" t="s">
        <v>262</v>
      </c>
    </row>
    <row r="82" spans="3:13" x14ac:dyDescent="0.25">
      <c r="C82" s="20" t="s">
        <v>143</v>
      </c>
      <c r="D82" s="20">
        <v>1.1499999999999999</v>
      </c>
      <c r="E82" s="100">
        <f>86.7*0.6*0.9</f>
        <v>46.818000000000005</v>
      </c>
      <c r="F82" s="283"/>
      <c r="G82" s="88">
        <f t="shared" si="10"/>
        <v>294.39999999999998</v>
      </c>
      <c r="H82" s="277">
        <f t="shared" si="11"/>
        <v>0.15902853260869568</v>
      </c>
      <c r="I82" s="244">
        <f t="shared" si="12"/>
        <v>1.0348054818771497</v>
      </c>
    </row>
    <row r="83" spans="3:13" x14ac:dyDescent="0.25">
      <c r="C83" s="20" t="s">
        <v>144</v>
      </c>
      <c r="D83" s="20">
        <v>1</v>
      </c>
      <c r="E83" s="100">
        <f>4820*0.6*0.9</f>
        <v>2602.8000000000002</v>
      </c>
      <c r="F83" s="283">
        <v>411</v>
      </c>
      <c r="G83" s="88">
        <f t="shared" si="10"/>
        <v>31316.75</v>
      </c>
      <c r="H83" s="277">
        <f t="shared" si="11"/>
        <v>8.2035442160254046E-2</v>
      </c>
      <c r="I83" s="244">
        <f t="shared" si="12"/>
        <v>0.94569371836597094</v>
      </c>
    </row>
    <row r="84" spans="3:13" x14ac:dyDescent="0.25">
      <c r="C84" s="20" t="s">
        <v>145</v>
      </c>
      <c r="D84" s="20">
        <v>0.8</v>
      </c>
      <c r="E84" s="100">
        <f>81.4*0.6*0.9</f>
        <v>43.956000000000003</v>
      </c>
      <c r="F84" s="283"/>
      <c r="G84" s="88">
        <f t="shared" si="10"/>
        <v>177.625</v>
      </c>
      <c r="H84" s="277">
        <f t="shared" si="11"/>
        <v>0.24746516537649543</v>
      </c>
      <c r="I84" s="244">
        <f t="shared" si="12"/>
        <v>0.68188078171081545</v>
      </c>
    </row>
    <row r="85" spans="3:13" x14ac:dyDescent="0.25">
      <c r="C85" s="20" t="s">
        <v>146</v>
      </c>
      <c r="D85" s="20">
        <v>0.9</v>
      </c>
      <c r="E85" s="100">
        <f>440.4*0.6*0.9</f>
        <v>237.81599999999997</v>
      </c>
      <c r="F85" s="283"/>
      <c r="G85" s="88">
        <f t="shared" si="10"/>
        <v>425.375</v>
      </c>
      <c r="H85" s="277">
        <f t="shared" si="11"/>
        <v>0.55907375844842777</v>
      </c>
      <c r="I85" s="244">
        <f t="shared" si="12"/>
        <v>0.64685301688175079</v>
      </c>
    </row>
    <row r="86" spans="3:13" x14ac:dyDescent="0.25">
      <c r="C86" s="27" t="s">
        <v>147</v>
      </c>
      <c r="D86" s="27">
        <v>1.1499999999999999</v>
      </c>
      <c r="E86" s="104">
        <f>147*0.6*0.9</f>
        <v>79.38000000000001</v>
      </c>
      <c r="F86" s="308"/>
      <c r="G86" s="105">
        <f t="shared" si="10"/>
        <v>2197.25</v>
      </c>
      <c r="H86" s="23">
        <f t="shared" si="11"/>
        <v>3.6126976902946868E-2</v>
      </c>
      <c r="I86" s="16">
        <f t="shared" si="12"/>
        <v>1.1216351002478675</v>
      </c>
    </row>
    <row r="88" spans="3:13" ht="16.2" customHeight="1" x14ac:dyDescent="0.25">
      <c r="H88" s="78" t="s">
        <v>263</v>
      </c>
      <c r="I88" s="132">
        <f>AVERAGE(I79:I86)</f>
        <v>1.0347432580961562</v>
      </c>
    </row>
    <row r="90" spans="3:13" ht="16.2" x14ac:dyDescent="0.25">
      <c r="H90" s="324" t="s">
        <v>423</v>
      </c>
      <c r="I90" s="132">
        <f>+I88*(1+D31*(1-E22))</f>
        <v>1.5810876983709268</v>
      </c>
    </row>
    <row r="92" spans="3:13" x14ac:dyDescent="0.25">
      <c r="C92" s="17" t="s">
        <v>163</v>
      </c>
      <c r="D92" s="256"/>
      <c r="E92" s="157"/>
    </row>
    <row r="93" spans="3:13" ht="16.2" x14ac:dyDescent="0.35">
      <c r="C93" s="20" t="s">
        <v>402</v>
      </c>
      <c r="D93" s="253">
        <v>6.4000000000000003E-3</v>
      </c>
      <c r="E93" s="325">
        <v>43952</v>
      </c>
      <c r="G93" s="88"/>
    </row>
    <row r="94" spans="3:13" ht="16.2" x14ac:dyDescent="0.35">
      <c r="C94" s="20" t="s">
        <v>403</v>
      </c>
      <c r="D94" s="253">
        <v>4.8300000000000003E-2</v>
      </c>
      <c r="E94" s="244" t="s">
        <v>207</v>
      </c>
      <c r="G94" s="88"/>
    </row>
    <row r="95" spans="3:13" x14ac:dyDescent="0.25">
      <c r="C95" s="27" t="s">
        <v>20</v>
      </c>
      <c r="D95" s="326">
        <v>1.9699999999999999E-2</v>
      </c>
      <c r="E95" s="327">
        <v>43952</v>
      </c>
      <c r="G95" s="88"/>
    </row>
    <row r="96" spans="3:13" x14ac:dyDescent="0.25">
      <c r="G96" s="88"/>
    </row>
    <row r="97" spans="3:7" x14ac:dyDescent="0.25">
      <c r="C97" s="38" t="s">
        <v>381</v>
      </c>
      <c r="D97" s="328">
        <f>+D93+(I88*D94)+D95</f>
        <v>7.6078099366044344E-2</v>
      </c>
      <c r="G97" s="88"/>
    </row>
    <row r="98" spans="3:7" ht="16.2" x14ac:dyDescent="0.35">
      <c r="C98" s="259" t="s">
        <v>408</v>
      </c>
      <c r="D98" s="329">
        <f>+D93+(D94*I90)+D95</f>
        <v>0.10246653583131576</v>
      </c>
      <c r="G98" s="88"/>
    </row>
    <row r="99" spans="3:7" ht="16.2" x14ac:dyDescent="0.35">
      <c r="C99" s="24" t="s">
        <v>409</v>
      </c>
      <c r="D99" s="141">
        <f>+Q51*D30*(1-E22)+Q50*D98</f>
        <v>8.0392519906286541E-2</v>
      </c>
      <c r="G99" s="88"/>
    </row>
    <row r="100" spans="3:7" x14ac:dyDescent="0.25">
      <c r="G100" s="88"/>
    </row>
    <row r="102" spans="3:7" x14ac:dyDescent="0.25">
      <c r="C102" s="127" t="s">
        <v>264</v>
      </c>
      <c r="D102" s="110">
        <f>+D53+NPV(D99,E53:N53)</f>
        <v>848210.57780339383</v>
      </c>
    </row>
    <row r="103" spans="3:7" x14ac:dyDescent="0.25">
      <c r="D103" s="99"/>
    </row>
    <row r="104" spans="3:7" x14ac:dyDescent="0.25">
      <c r="C104" s="127" t="s">
        <v>312</v>
      </c>
      <c r="D104" s="110">
        <f>+D58+NPV(D98,E58:N58)</f>
        <v>717135.60328585585</v>
      </c>
    </row>
    <row r="105" spans="3:7" x14ac:dyDescent="0.25">
      <c r="D105" s="99"/>
    </row>
    <row r="106" spans="3:7" x14ac:dyDescent="0.25">
      <c r="C106" s="332" t="s">
        <v>253</v>
      </c>
      <c r="D106" s="112">
        <f>SUM(D107:D108)</f>
        <v>926621.51213965914</v>
      </c>
    </row>
    <row r="107" spans="3:7" x14ac:dyDescent="0.25">
      <c r="C107" s="333" t="s">
        <v>265</v>
      </c>
      <c r="D107" s="147">
        <f>+D53+NPV(D97,E53:N53)</f>
        <v>889980.51159569435</v>
      </c>
    </row>
    <row r="108" spans="3:7" x14ac:dyDescent="0.25">
      <c r="C108" s="334" t="s">
        <v>266</v>
      </c>
      <c r="D108" s="335">
        <f>+D57+NPV(D30,E57:I57)</f>
        <v>36641.000543964852</v>
      </c>
    </row>
    <row r="109" spans="3:7" x14ac:dyDescent="0.25">
      <c r="C109" s="179"/>
    </row>
    <row r="110" spans="3:7" x14ac:dyDescent="0.25">
      <c r="C110" s="127" t="s">
        <v>392</v>
      </c>
      <c r="D110" s="110">
        <f>NPV(D30,E55:I55)</f>
        <v>36641.000543964787</v>
      </c>
    </row>
  </sheetData>
  <sheetProtection algorithmName="SHA-512" hashValue="OWkyWHxCJs5yfVOvVee8wSrbt2C2GjRU2gIBECuUMj1EHwH9wxz0wFmGFoljj2U90M9M6A0/6WrkW6CkU1fn2A==" saltValue="FEu2Aif84TYUaDMKcrr8fg==" spinCount="100000" sheet="1" objects="1" scenarios="1"/>
  <mergeCells count="6">
    <mergeCell ref="C1:Q1"/>
    <mergeCell ref="H76:H78"/>
    <mergeCell ref="D76:D78"/>
    <mergeCell ref="C3:E4"/>
    <mergeCell ref="C62:C64"/>
    <mergeCell ref="D62:D64"/>
  </mergeCells>
  <phoneticPr fontId="1" type="noConversion"/>
  <pageMargins left="0.7" right="0.7" top="0.75" bottom="0.75" header="0.3" footer="0.3"/>
  <pageSetup orientation="portrait" horizontalDpi="360" verticalDpi="360" r:id="rId1"/>
  <ignoredErrors>
    <ignoredError sqref="K78 K80:K8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57"/>
  <sheetViews>
    <sheetView zoomScaleNormal="100" workbookViewId="0"/>
  </sheetViews>
  <sheetFormatPr baseColWidth="10" defaultColWidth="11.44140625" defaultRowHeight="13.8" x14ac:dyDescent="0.25"/>
  <cols>
    <col min="1" max="1" width="20.109375" style="7" customWidth="1"/>
    <col min="2" max="2" width="5.44140625" style="7" customWidth="1"/>
    <col min="3" max="3" width="20.44140625" style="7" bestFit="1" customWidth="1"/>
    <col min="4" max="4" width="12.33203125" style="7" bestFit="1" customWidth="1"/>
    <col min="5" max="5" width="11.5546875" style="7" bestFit="1" customWidth="1"/>
    <col min="6" max="6" width="11.5546875" style="7" customWidth="1"/>
    <col min="7" max="7" width="9.33203125" style="7" bestFit="1" customWidth="1"/>
    <col min="8" max="8" width="2.109375" style="7" bestFit="1" customWidth="1"/>
    <col min="9" max="9" width="7" style="7" bestFit="1" customWidth="1"/>
    <col min="10" max="10" width="2.109375" style="7" bestFit="1" customWidth="1"/>
    <col min="11" max="11" width="8.5546875" style="7" bestFit="1" customWidth="1"/>
    <col min="12" max="12" width="1.44140625" style="7" bestFit="1" customWidth="1"/>
    <col min="13" max="13" width="2" style="7" bestFit="1" customWidth="1"/>
    <col min="14" max="14" width="6.33203125" style="7" bestFit="1" customWidth="1"/>
    <col min="15" max="15" width="3.88671875" style="7" bestFit="1" customWidth="1"/>
    <col min="16" max="16" width="5.88671875" style="7" bestFit="1" customWidth="1"/>
    <col min="17" max="17" width="2" style="7" bestFit="1" customWidth="1"/>
    <col min="18" max="18" width="4.33203125" style="7" bestFit="1" customWidth="1"/>
    <col min="19" max="19" width="11.6640625" style="7" customWidth="1"/>
    <col min="20" max="16384" width="11.44140625" style="7"/>
  </cols>
  <sheetData>
    <row r="1" spans="3:12" ht="19.95" customHeight="1" x14ac:dyDescent="0.25">
      <c r="C1" s="619" t="s">
        <v>401</v>
      </c>
      <c r="D1" s="619"/>
      <c r="E1" s="619"/>
      <c r="F1" s="619"/>
      <c r="G1" s="619"/>
      <c r="H1" s="619"/>
      <c r="I1" s="619"/>
      <c r="J1" s="619"/>
      <c r="K1" s="619"/>
      <c r="L1" s="619"/>
    </row>
    <row r="3" spans="3:12" x14ac:dyDescent="0.25">
      <c r="C3" s="616" t="s">
        <v>36</v>
      </c>
      <c r="D3" s="617"/>
      <c r="E3" s="618"/>
    </row>
    <row r="4" spans="3:12" x14ac:dyDescent="0.25">
      <c r="C4" s="8" t="s">
        <v>27</v>
      </c>
      <c r="D4" s="9">
        <v>1500000</v>
      </c>
      <c r="E4" s="10"/>
    </row>
    <row r="5" spans="3:12" x14ac:dyDescent="0.25">
      <c r="C5" s="8" t="s">
        <v>95</v>
      </c>
      <c r="D5" s="9">
        <v>300000</v>
      </c>
      <c r="E5" s="11" t="s">
        <v>297</v>
      </c>
    </row>
    <row r="6" spans="3:12" x14ac:dyDescent="0.25">
      <c r="C6" s="8" t="s">
        <v>161</v>
      </c>
      <c r="D6" s="9">
        <v>0.5</v>
      </c>
      <c r="E6" s="12"/>
    </row>
    <row r="7" spans="3:12" x14ac:dyDescent="0.25">
      <c r="C7" s="8" t="s">
        <v>164</v>
      </c>
      <c r="D7" s="9">
        <f>1-D6</f>
        <v>0.5</v>
      </c>
      <c r="E7" s="12"/>
    </row>
    <row r="8" spans="3:12" x14ac:dyDescent="0.25">
      <c r="C8" s="8" t="s">
        <v>359</v>
      </c>
      <c r="D8" s="13">
        <v>0.3</v>
      </c>
      <c r="E8" s="12"/>
    </row>
    <row r="9" spans="3:12" x14ac:dyDescent="0.25">
      <c r="C9" s="8" t="s">
        <v>152</v>
      </c>
      <c r="D9" s="13">
        <v>0.05</v>
      </c>
      <c r="E9" s="12"/>
    </row>
    <row r="10" spans="3:12" x14ac:dyDescent="0.25">
      <c r="C10" s="8" t="s">
        <v>19</v>
      </c>
      <c r="D10" s="9">
        <f>+D6/D6</f>
        <v>1</v>
      </c>
      <c r="E10" s="12"/>
    </row>
    <row r="11" spans="3:12" ht="16.2" x14ac:dyDescent="0.35">
      <c r="C11" s="8" t="s">
        <v>402</v>
      </c>
      <c r="D11" s="13">
        <v>0.05</v>
      </c>
      <c r="E11" s="12"/>
    </row>
    <row r="12" spans="3:12" ht="16.2" x14ac:dyDescent="0.35">
      <c r="C12" s="14" t="s">
        <v>403</v>
      </c>
      <c r="D12" s="15">
        <v>7.0000000000000007E-2</v>
      </c>
      <c r="E12" s="16"/>
    </row>
    <row r="14" spans="3:12" x14ac:dyDescent="0.25">
      <c r="C14" s="17" t="s">
        <v>167</v>
      </c>
      <c r="D14" s="17" t="s">
        <v>13</v>
      </c>
      <c r="E14" s="18" t="s">
        <v>14</v>
      </c>
      <c r="F14" s="19" t="s">
        <v>159</v>
      </c>
    </row>
    <row r="15" spans="3:12" x14ac:dyDescent="0.25">
      <c r="C15" s="20"/>
      <c r="D15" s="20">
        <v>1.2</v>
      </c>
      <c r="E15" s="9">
        <v>1.3</v>
      </c>
      <c r="F15" s="12">
        <v>1.4</v>
      </c>
    </row>
    <row r="16" spans="3:12" x14ac:dyDescent="0.25">
      <c r="C16" s="20" t="s">
        <v>19</v>
      </c>
      <c r="D16" s="20">
        <v>1</v>
      </c>
      <c r="E16" s="9">
        <v>0.5</v>
      </c>
      <c r="F16" s="12">
        <v>1.5</v>
      </c>
    </row>
    <row r="17" spans="3:6" x14ac:dyDescent="0.25">
      <c r="C17" s="20" t="s">
        <v>45</v>
      </c>
      <c r="D17" s="21">
        <v>0.3</v>
      </c>
      <c r="E17" s="13">
        <v>0.3</v>
      </c>
      <c r="F17" s="22">
        <v>0.3</v>
      </c>
    </row>
    <row r="18" spans="3:6" ht="5.4" customHeight="1" x14ac:dyDescent="0.25">
      <c r="C18" s="23"/>
      <c r="D18" s="9"/>
      <c r="E18" s="9"/>
      <c r="F18" s="12"/>
    </row>
    <row r="19" spans="3:6" ht="14.4" customHeight="1" x14ac:dyDescent="0.25">
      <c r="C19" s="24"/>
      <c r="D19" s="25">
        <f>+(1/(1+(D16*(1-D17)))*D15)</f>
        <v>0.70588235294117652</v>
      </c>
      <c r="E19" s="25">
        <f t="shared" ref="E19:F19" si="0">+(1/(1+(E16*(1-E17)))*E15)</f>
        <v>0.96296296296296291</v>
      </c>
      <c r="F19" s="26">
        <f t="shared" si="0"/>
        <v>0.68292682926829273</v>
      </c>
    </row>
    <row r="20" spans="3:6" ht="13.95" customHeight="1" x14ac:dyDescent="0.25">
      <c r="C20" s="24" t="s">
        <v>160</v>
      </c>
      <c r="D20" s="25"/>
      <c r="E20" s="25"/>
      <c r="F20" s="26">
        <f>AVERAGE(D19:F19)</f>
        <v>0.78392404839081076</v>
      </c>
    </row>
    <row r="24" spans="3:6" x14ac:dyDescent="0.25">
      <c r="C24" s="17"/>
      <c r="D24" s="19" t="s">
        <v>36</v>
      </c>
    </row>
    <row r="25" spans="3:6" ht="16.2" x14ac:dyDescent="0.35">
      <c r="C25" s="20" t="s">
        <v>404</v>
      </c>
      <c r="D25" s="12" t="s">
        <v>162</v>
      </c>
    </row>
    <row r="26" spans="3:6" x14ac:dyDescent="0.25">
      <c r="C26" s="20" t="s">
        <v>19</v>
      </c>
      <c r="D26" s="12" t="s">
        <v>162</v>
      </c>
    </row>
    <row r="27" spans="3:6" x14ac:dyDescent="0.25">
      <c r="C27" s="27" t="s">
        <v>45</v>
      </c>
      <c r="D27" s="28">
        <f>+D8</f>
        <v>0.3</v>
      </c>
    </row>
    <row r="29" spans="3:6" x14ac:dyDescent="0.25">
      <c r="C29" s="17"/>
      <c r="D29" s="19" t="s">
        <v>36</v>
      </c>
    </row>
    <row r="30" spans="3:6" ht="18.75" customHeight="1" x14ac:dyDescent="0.35">
      <c r="C30" s="20" t="s">
        <v>404</v>
      </c>
      <c r="D30" s="12" t="s">
        <v>162</v>
      </c>
    </row>
    <row r="31" spans="3:6" x14ac:dyDescent="0.25">
      <c r="C31" s="20" t="s">
        <v>19</v>
      </c>
      <c r="D31" s="12">
        <f>+D10</f>
        <v>1</v>
      </c>
    </row>
    <row r="32" spans="3:6" x14ac:dyDescent="0.25">
      <c r="C32" s="27" t="s">
        <v>45</v>
      </c>
      <c r="D32" s="28">
        <f>+D8</f>
        <v>0.3</v>
      </c>
    </row>
    <row r="34" spans="2:5" x14ac:dyDescent="0.25">
      <c r="C34" s="17"/>
      <c r="D34" s="19" t="s">
        <v>36</v>
      </c>
    </row>
    <row r="35" spans="2:5" ht="16.2" x14ac:dyDescent="0.35">
      <c r="C35" s="20" t="s">
        <v>404</v>
      </c>
      <c r="D35" s="12">
        <f>+F20*(1+D31*(1-D37))</f>
        <v>1.3326708822643782</v>
      </c>
    </row>
    <row r="36" spans="2:5" x14ac:dyDescent="0.25">
      <c r="C36" s="20" t="s">
        <v>19</v>
      </c>
      <c r="D36" s="12">
        <f>+D31</f>
        <v>1</v>
      </c>
    </row>
    <row r="37" spans="2:5" x14ac:dyDescent="0.25">
      <c r="C37" s="27" t="s">
        <v>45</v>
      </c>
      <c r="D37" s="28">
        <f>+D32</f>
        <v>0.3</v>
      </c>
    </row>
    <row r="40" spans="2:5" ht="16.2" x14ac:dyDescent="0.35">
      <c r="B40" s="29" t="s">
        <v>30</v>
      </c>
      <c r="C40" s="30" t="s">
        <v>405</v>
      </c>
      <c r="D40" s="31">
        <f>+D11+D35*D12</f>
        <v>0.14328696175850647</v>
      </c>
    </row>
    <row r="41" spans="2:5" x14ac:dyDescent="0.25">
      <c r="B41" s="29"/>
      <c r="D41" s="32"/>
    </row>
    <row r="42" spans="2:5" ht="16.2" x14ac:dyDescent="0.35">
      <c r="B42" s="29" t="s">
        <v>31</v>
      </c>
      <c r="C42" s="33" t="s">
        <v>406</v>
      </c>
      <c r="D42" s="31">
        <f>+D6*D9*(1-D8)+D40*D7</f>
        <v>8.9143480879253237E-2</v>
      </c>
    </row>
    <row r="44" spans="2:5" x14ac:dyDescent="0.25">
      <c r="B44" s="34"/>
    </row>
    <row r="45" spans="2:5" x14ac:dyDescent="0.25">
      <c r="B45" s="34"/>
      <c r="D45" s="34"/>
    </row>
    <row r="46" spans="2:5" x14ac:dyDescent="0.25">
      <c r="B46" s="29" t="s">
        <v>32</v>
      </c>
      <c r="C46" s="17"/>
      <c r="D46" s="18" t="s">
        <v>23</v>
      </c>
      <c r="E46" s="19" t="s">
        <v>165</v>
      </c>
    </row>
    <row r="47" spans="2:5" x14ac:dyDescent="0.25">
      <c r="C47" s="27" t="s">
        <v>98</v>
      </c>
      <c r="D47" s="35">
        <v>-1500</v>
      </c>
      <c r="E47" s="16">
        <v>300</v>
      </c>
    </row>
    <row r="49" spans="2:7" x14ac:dyDescent="0.25">
      <c r="C49" s="38">
        <v>-1500</v>
      </c>
      <c r="D49" s="39" t="s">
        <v>112</v>
      </c>
      <c r="E49" s="40">
        <v>300</v>
      </c>
      <c r="F49" s="39" t="s">
        <v>132</v>
      </c>
      <c r="G49" s="41">
        <v>0</v>
      </c>
    </row>
    <row r="50" spans="2:7" x14ac:dyDescent="0.25">
      <c r="C50" s="42"/>
      <c r="D50" s="43"/>
      <c r="E50" s="43" t="s">
        <v>15</v>
      </c>
      <c r="F50" s="43"/>
      <c r="G50" s="44"/>
    </row>
    <row r="52" spans="2:7" x14ac:dyDescent="0.25">
      <c r="C52" s="38">
        <v>-1500</v>
      </c>
      <c r="D52" s="39" t="s">
        <v>112</v>
      </c>
      <c r="E52" s="40">
        <v>300</v>
      </c>
      <c r="F52" s="39" t="s">
        <v>132</v>
      </c>
      <c r="G52" s="41">
        <f>+C52+(E52/E53)</f>
        <v>1865.3610678088335</v>
      </c>
    </row>
    <row r="53" spans="2:7" x14ac:dyDescent="0.25">
      <c r="C53" s="42"/>
      <c r="D53" s="43"/>
      <c r="E53" s="45">
        <f>+D42</f>
        <v>8.9143480879253237E-2</v>
      </c>
      <c r="F53" s="43"/>
      <c r="G53" s="44"/>
    </row>
    <row r="55" spans="2:7" x14ac:dyDescent="0.25">
      <c r="C55" s="30" t="s">
        <v>15</v>
      </c>
      <c r="D55" s="36">
        <f>+E49/-C49</f>
        <v>0.2</v>
      </c>
    </row>
    <row r="57" spans="2:7" x14ac:dyDescent="0.25">
      <c r="B57" s="29" t="s">
        <v>203</v>
      </c>
      <c r="C57" s="30" t="s">
        <v>166</v>
      </c>
      <c r="D57" s="37">
        <f>+D47+E47/D42</f>
        <v>1865.3610678088335</v>
      </c>
    </row>
  </sheetData>
  <sheetProtection algorithmName="SHA-512" hashValue="yGLNlLoOfwk5PaCrqK13qz8Trf+DaT2QfMjIc/DbqfvI/hFxxmDaaIMNPcN89es8p+oS3aEuoCdy7PZbK80NVw==" saltValue="Br3kIjJFqOw7QJ0Upy6XVA==" spinCount="100000" sheet="1" objects="1" scenarios="1"/>
  <mergeCells count="2">
    <mergeCell ref="C3:E3"/>
    <mergeCell ref="C1:L1"/>
  </mergeCells>
  <hyperlinks>
    <hyperlink ref="C57" r:id="rId1" xr:uid="{00000000-0004-0000-0100-000000000000}"/>
  </hyperlinks>
  <pageMargins left="0.7" right="0.7" top="0.75" bottom="0.75" header="0.3" footer="0.3"/>
  <pageSetup orientation="portrait" horizontalDpi="360" verticalDpi="360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69"/>
  <sheetViews>
    <sheetView zoomScaleNormal="100" workbookViewId="0">
      <selection activeCell="K60" sqref="K60"/>
    </sheetView>
  </sheetViews>
  <sheetFormatPr baseColWidth="10" defaultColWidth="11.44140625" defaultRowHeight="13.8" x14ac:dyDescent="0.25"/>
  <cols>
    <col min="1" max="1" width="22" style="86" customWidth="1"/>
    <col min="2" max="2" width="5.33203125" style="29" customWidth="1"/>
    <col min="3" max="3" width="23.6640625" style="86" customWidth="1"/>
    <col min="4" max="4" width="15.6640625" style="86" customWidth="1"/>
    <col min="5" max="5" width="13.33203125" style="86" customWidth="1"/>
    <col min="6" max="6" width="13" style="86" customWidth="1"/>
    <col min="7" max="7" width="14.109375" style="86" customWidth="1"/>
    <col min="8" max="8" width="14" style="86" customWidth="1"/>
    <col min="9" max="9" width="14.33203125" style="86" customWidth="1"/>
    <col min="10" max="10" width="15.88671875" style="86" customWidth="1"/>
    <col min="11" max="11" width="13" style="86" customWidth="1"/>
    <col min="12" max="12" width="11.44140625" style="86"/>
    <col min="13" max="13" width="21" style="86" customWidth="1"/>
    <col min="14" max="16384" width="11.44140625" style="86"/>
  </cols>
  <sheetData>
    <row r="1" spans="3:10" ht="19.95" customHeight="1" x14ac:dyDescent="0.25">
      <c r="C1" s="619" t="s">
        <v>421</v>
      </c>
      <c r="D1" s="619"/>
      <c r="E1" s="619"/>
      <c r="F1" s="619"/>
      <c r="G1" s="619"/>
      <c r="H1" s="619"/>
      <c r="I1" s="619"/>
      <c r="J1" s="619"/>
    </row>
    <row r="2" spans="3:10" x14ac:dyDescent="0.25">
      <c r="C2" s="99"/>
    </row>
    <row r="3" spans="3:10" ht="14.4" customHeight="1" x14ac:dyDescent="0.25">
      <c r="C3" s="622" t="s">
        <v>184</v>
      </c>
      <c r="D3" s="623"/>
      <c r="E3" s="623"/>
      <c r="F3" s="623"/>
      <c r="G3" s="623"/>
      <c r="H3" s="623"/>
      <c r="I3" s="624"/>
    </row>
    <row r="4" spans="3:10" x14ac:dyDescent="0.25">
      <c r="C4" s="638"/>
      <c r="D4" s="639"/>
      <c r="E4" s="639"/>
      <c r="F4" s="639"/>
      <c r="G4" s="639"/>
      <c r="H4" s="639"/>
      <c r="I4" s="640"/>
    </row>
    <row r="5" spans="3:10" x14ac:dyDescent="0.25">
      <c r="C5" s="251"/>
      <c r="D5" s="109" t="s">
        <v>23</v>
      </c>
      <c r="E5" s="109" t="s">
        <v>0</v>
      </c>
      <c r="F5" s="109" t="s">
        <v>1</v>
      </c>
      <c r="G5" s="109" t="s">
        <v>2</v>
      </c>
      <c r="H5" s="109" t="s">
        <v>3</v>
      </c>
      <c r="I5" s="140" t="s">
        <v>38</v>
      </c>
    </row>
    <row r="6" spans="3:10" x14ac:dyDescent="0.25">
      <c r="C6" s="100" t="s">
        <v>40</v>
      </c>
      <c r="D6" s="88"/>
      <c r="E6" s="88">
        <v>20000</v>
      </c>
      <c r="F6" s="88"/>
      <c r="G6" s="88"/>
      <c r="H6" s="88"/>
      <c r="I6" s="103"/>
    </row>
    <row r="7" spans="3:10" x14ac:dyDescent="0.25">
      <c r="C7" s="100" t="s">
        <v>269</v>
      </c>
      <c r="D7" s="88"/>
      <c r="E7" s="92"/>
      <c r="F7" s="92">
        <v>0.2</v>
      </c>
      <c r="G7" s="92">
        <v>0.3</v>
      </c>
      <c r="H7" s="92">
        <v>0.2</v>
      </c>
      <c r="I7" s="138">
        <v>-0.3</v>
      </c>
    </row>
    <row r="8" spans="3:10" x14ac:dyDescent="0.25">
      <c r="C8" s="100" t="s">
        <v>149</v>
      </c>
      <c r="D8" s="88"/>
      <c r="E8" s="687">
        <v>100</v>
      </c>
      <c r="F8" s="687"/>
      <c r="G8" s="687"/>
      <c r="H8" s="687"/>
      <c r="I8" s="688"/>
    </row>
    <row r="9" spans="3:10" x14ac:dyDescent="0.25">
      <c r="C9" s="100" t="s">
        <v>6</v>
      </c>
      <c r="D9" s="88"/>
      <c r="E9" s="203">
        <v>0.2857142857142857</v>
      </c>
      <c r="F9" s="203">
        <v>0.23809523809523808</v>
      </c>
      <c r="G9" s="203">
        <v>0.19047619047619047</v>
      </c>
      <c r="H9" s="203">
        <v>0.14285714285714285</v>
      </c>
      <c r="I9" s="195">
        <v>9.5238095238095233E-2</v>
      </c>
    </row>
    <row r="10" spans="3:10" x14ac:dyDescent="0.25">
      <c r="C10" s="100" t="s">
        <v>175</v>
      </c>
      <c r="D10" s="88"/>
      <c r="E10" s="689">
        <v>0.3</v>
      </c>
      <c r="F10" s="689"/>
      <c r="G10" s="689"/>
      <c r="H10" s="689"/>
      <c r="I10" s="690"/>
    </row>
    <row r="11" spans="3:10" x14ac:dyDescent="0.25">
      <c r="C11" s="100" t="s">
        <v>26</v>
      </c>
      <c r="D11" s="88"/>
      <c r="E11" s="88">
        <v>10400</v>
      </c>
      <c r="F11" s="88">
        <v>268320</v>
      </c>
      <c r="G11" s="88">
        <v>638240</v>
      </c>
      <c r="H11" s="88">
        <v>974560</v>
      </c>
      <c r="I11" s="103">
        <v>636360</v>
      </c>
    </row>
    <row r="12" spans="3:10" x14ac:dyDescent="0.25">
      <c r="C12" s="100" t="s">
        <v>270</v>
      </c>
      <c r="D12" s="88">
        <v>3000000</v>
      </c>
      <c r="E12" s="97"/>
      <c r="F12" s="97"/>
      <c r="G12" s="97"/>
      <c r="H12" s="97"/>
      <c r="I12" s="103"/>
    </row>
    <row r="13" spans="3:10" x14ac:dyDescent="0.25">
      <c r="C13" s="100" t="s">
        <v>43</v>
      </c>
      <c r="D13" s="92">
        <v>0.1</v>
      </c>
      <c r="E13" s="88" t="s">
        <v>172</v>
      </c>
      <c r="F13" s="88"/>
      <c r="G13" s="88"/>
      <c r="H13" s="88"/>
      <c r="I13" s="103"/>
    </row>
    <row r="14" spans="3:10" x14ac:dyDescent="0.25">
      <c r="C14" s="100" t="s">
        <v>154</v>
      </c>
      <c r="D14" s="88"/>
      <c r="E14" s="88"/>
      <c r="F14" s="88"/>
      <c r="G14" s="88"/>
      <c r="H14" s="88"/>
      <c r="I14" s="103">
        <v>52857.14</v>
      </c>
    </row>
    <row r="15" spans="3:10" x14ac:dyDescent="0.25">
      <c r="C15" s="100" t="s">
        <v>152</v>
      </c>
      <c r="D15" s="92">
        <v>0.1</v>
      </c>
      <c r="E15" s="88"/>
      <c r="F15" s="88"/>
      <c r="G15" s="88"/>
      <c r="H15" s="88"/>
      <c r="I15" s="103"/>
    </row>
    <row r="16" spans="3:10" x14ac:dyDescent="0.25">
      <c r="C16" s="100" t="s">
        <v>161</v>
      </c>
      <c r="D16" s="92">
        <v>0.4</v>
      </c>
      <c r="E16" s="88"/>
      <c r="F16" s="88"/>
      <c r="G16" s="88"/>
      <c r="H16" s="88"/>
      <c r="I16" s="103"/>
    </row>
    <row r="17" spans="2:9" x14ac:dyDescent="0.25">
      <c r="C17" s="104"/>
      <c r="D17" s="105"/>
      <c r="E17" s="105"/>
      <c r="F17" s="105"/>
      <c r="G17" s="105"/>
      <c r="H17" s="105"/>
      <c r="I17" s="106"/>
    </row>
    <row r="19" spans="2:9" x14ac:dyDescent="0.25">
      <c r="C19" s="17" t="s">
        <v>163</v>
      </c>
      <c r="D19" s="256"/>
      <c r="E19" s="156"/>
      <c r="F19" s="156"/>
      <c r="G19" s="156"/>
      <c r="H19" s="157"/>
    </row>
    <row r="20" spans="2:9" x14ac:dyDescent="0.25">
      <c r="C20" s="243"/>
      <c r="D20" s="242"/>
      <c r="E20" s="88"/>
      <c r="F20" s="88"/>
      <c r="G20" s="88"/>
      <c r="H20" s="103"/>
    </row>
    <row r="21" spans="2:9" ht="16.2" x14ac:dyDescent="0.35">
      <c r="C21" s="8" t="s">
        <v>402</v>
      </c>
      <c r="D21" s="253">
        <v>6.4000000000000003E-3</v>
      </c>
      <c r="E21" s="88"/>
      <c r="F21" s="254">
        <v>43952</v>
      </c>
      <c r="G21" s="88"/>
      <c r="H21" s="103"/>
    </row>
    <row r="22" spans="2:9" ht="16.2" x14ac:dyDescent="0.35">
      <c r="C22" s="8" t="s">
        <v>403</v>
      </c>
      <c r="D22" s="253">
        <v>4.8300000000000003E-2</v>
      </c>
      <c r="E22" s="88"/>
      <c r="F22" s="242" t="s">
        <v>207</v>
      </c>
      <c r="G22" s="88"/>
      <c r="H22" s="103"/>
    </row>
    <row r="23" spans="2:9" x14ac:dyDescent="0.25">
      <c r="C23" s="8" t="s">
        <v>388</v>
      </c>
      <c r="D23" s="88">
        <v>3520</v>
      </c>
      <c r="E23" s="88" t="s">
        <v>236</v>
      </c>
      <c r="F23" s="254">
        <v>43952</v>
      </c>
      <c r="G23" s="88"/>
      <c r="H23" s="103"/>
    </row>
    <row r="24" spans="2:9" x14ac:dyDescent="0.25">
      <c r="C24" s="14"/>
      <c r="D24" s="105">
        <v>1.04</v>
      </c>
      <c r="E24" s="105" t="s">
        <v>272</v>
      </c>
      <c r="F24" s="105"/>
      <c r="G24" s="105"/>
      <c r="H24" s="106"/>
    </row>
    <row r="26" spans="2:9" x14ac:dyDescent="0.25">
      <c r="B26" s="29" t="s">
        <v>30</v>
      </c>
      <c r="C26" s="30" t="s">
        <v>19</v>
      </c>
      <c r="D26" s="257">
        <f>+D16/(1-D16)</f>
        <v>0.66666666666666674</v>
      </c>
    </row>
    <row r="28" spans="2:9" ht="16.2" x14ac:dyDescent="0.35">
      <c r="C28" s="30" t="s">
        <v>423</v>
      </c>
      <c r="D28" s="132">
        <f>+D24*(1+D26*(1-E10))</f>
        <v>1.5253333333333334</v>
      </c>
    </row>
    <row r="30" spans="2:9" x14ac:dyDescent="0.25">
      <c r="C30" s="38" t="s">
        <v>381</v>
      </c>
      <c r="D30" s="258">
        <f>+D21+(D24*D22)+(D23/10000)</f>
        <v>0.408632</v>
      </c>
    </row>
    <row r="31" spans="2:9" ht="16.2" x14ac:dyDescent="0.35">
      <c r="C31" s="259" t="s">
        <v>408</v>
      </c>
      <c r="D31" s="260">
        <f>+D21+(D28*D22)+(D23/10000)</f>
        <v>0.4320736</v>
      </c>
      <c r="I31" s="203"/>
    </row>
    <row r="32" spans="2:9" ht="16.2" x14ac:dyDescent="0.35">
      <c r="C32" s="24" t="s">
        <v>409</v>
      </c>
      <c r="D32" s="261">
        <f>+D16*D15*(1-E10)+(1-D16)*D31</f>
        <v>0.28724416000000003</v>
      </c>
      <c r="I32" s="203"/>
    </row>
    <row r="34" spans="2:10" x14ac:dyDescent="0.25">
      <c r="B34" s="29" t="s">
        <v>31</v>
      </c>
      <c r="C34" s="122" t="s">
        <v>274</v>
      </c>
      <c r="D34" s="252">
        <f>+D12</f>
        <v>3000000</v>
      </c>
    </row>
    <row r="35" spans="2:10" x14ac:dyDescent="0.25">
      <c r="C35" s="145" t="s">
        <v>43</v>
      </c>
      <c r="D35" s="103">
        <f>+E6*E8*D13</f>
        <v>200000</v>
      </c>
    </row>
    <row r="36" spans="2:10" x14ac:dyDescent="0.25">
      <c r="C36" s="136" t="s">
        <v>27</v>
      </c>
      <c r="D36" s="106">
        <f>SUM(D34:D35)</f>
        <v>3200000</v>
      </c>
    </row>
    <row r="39" spans="2:10" x14ac:dyDescent="0.25">
      <c r="C39" s="126"/>
      <c r="D39" s="71" t="s">
        <v>23</v>
      </c>
      <c r="E39" s="71" t="s">
        <v>0</v>
      </c>
      <c r="F39" s="71" t="s">
        <v>1</v>
      </c>
      <c r="G39" s="71" t="s">
        <v>2</v>
      </c>
      <c r="H39" s="71" t="s">
        <v>3</v>
      </c>
      <c r="I39" s="72" t="s">
        <v>38</v>
      </c>
    </row>
    <row r="40" spans="2:10" x14ac:dyDescent="0.25">
      <c r="C40" s="100" t="s">
        <v>58</v>
      </c>
      <c r="D40" s="88">
        <f>+D36*D16</f>
        <v>1280000</v>
      </c>
      <c r="E40" s="88">
        <f>+D40-E41</f>
        <v>1070339.2245827259</v>
      </c>
      <c r="F40" s="88">
        <f t="shared" ref="F40:I40" si="0">+E40-F41</f>
        <v>839712.37162372447</v>
      </c>
      <c r="G40" s="88">
        <f t="shared" si="0"/>
        <v>586022.83336882282</v>
      </c>
      <c r="H40" s="88">
        <f t="shared" si="0"/>
        <v>306964.34128843102</v>
      </c>
      <c r="I40" s="103">
        <f t="shared" si="0"/>
        <v>0</v>
      </c>
    </row>
    <row r="41" spans="2:10" x14ac:dyDescent="0.25">
      <c r="C41" s="100" t="s">
        <v>55</v>
      </c>
      <c r="D41" s="88"/>
      <c r="E41" s="88">
        <f>+E43-E42</f>
        <v>209660.7754172741</v>
      </c>
      <c r="F41" s="88">
        <f t="shared" ref="F41:I41" si="1">+F43-F42</f>
        <v>230626.8529590015</v>
      </c>
      <c r="G41" s="88">
        <f t="shared" si="1"/>
        <v>253689.53825490165</v>
      </c>
      <c r="H41" s="88">
        <f t="shared" si="1"/>
        <v>279058.49208039179</v>
      </c>
      <c r="I41" s="103">
        <f t="shared" si="1"/>
        <v>306964.34128843097</v>
      </c>
    </row>
    <row r="42" spans="2:10" x14ac:dyDescent="0.25">
      <c r="C42" s="100" t="s">
        <v>173</v>
      </c>
      <c r="D42" s="88"/>
      <c r="E42" s="88">
        <f>+D40*$D$15</f>
        <v>128000</v>
      </c>
      <c r="F42" s="88">
        <f t="shared" ref="F42:I42" si="2">+E40*$D$15</f>
        <v>107033.9224582726</v>
      </c>
      <c r="G42" s="88">
        <f t="shared" si="2"/>
        <v>83971.237162372447</v>
      </c>
      <c r="H42" s="88">
        <f t="shared" si="2"/>
        <v>58602.283336882283</v>
      </c>
      <c r="I42" s="103">
        <f t="shared" si="2"/>
        <v>30696.434128843102</v>
      </c>
    </row>
    <row r="43" spans="2:10" x14ac:dyDescent="0.25">
      <c r="C43" s="137" t="s">
        <v>135</v>
      </c>
      <c r="D43" s="111"/>
      <c r="E43" s="111">
        <f>PMT($D$15,5,-$D$40)</f>
        <v>337660.7754172741</v>
      </c>
      <c r="F43" s="111">
        <f t="shared" ref="F43:I43" si="3">PMT($D$15,5,-$D$40)</f>
        <v>337660.7754172741</v>
      </c>
      <c r="G43" s="111">
        <f t="shared" si="3"/>
        <v>337660.7754172741</v>
      </c>
      <c r="H43" s="111">
        <f t="shared" si="3"/>
        <v>337660.7754172741</v>
      </c>
      <c r="I43" s="112">
        <f t="shared" si="3"/>
        <v>337660.7754172741</v>
      </c>
    </row>
    <row r="46" spans="2:10" x14ac:dyDescent="0.25">
      <c r="C46" s="263"/>
      <c r="D46" s="264" t="s">
        <v>23</v>
      </c>
      <c r="E46" s="264" t="s">
        <v>0</v>
      </c>
      <c r="F46" s="264" t="s">
        <v>1</v>
      </c>
      <c r="G46" s="264" t="s">
        <v>2</v>
      </c>
      <c r="H46" s="264" t="s">
        <v>3</v>
      </c>
      <c r="I46" s="264" t="s">
        <v>38</v>
      </c>
      <c r="J46" s="603" t="s">
        <v>38</v>
      </c>
    </row>
    <row r="47" spans="2:10" x14ac:dyDescent="0.25">
      <c r="C47" s="601"/>
      <c r="D47" s="602"/>
      <c r="E47" s="602"/>
      <c r="F47" s="602"/>
      <c r="G47" s="602"/>
      <c r="H47" s="602"/>
      <c r="I47" s="602"/>
      <c r="J47" s="604" t="s">
        <v>496</v>
      </c>
    </row>
    <row r="48" spans="2:10" x14ac:dyDescent="0.25">
      <c r="C48" s="100" t="s">
        <v>4</v>
      </c>
      <c r="D48" s="565"/>
      <c r="E48" s="565">
        <f>+E6*$E$8</f>
        <v>2000000</v>
      </c>
      <c r="F48" s="565">
        <f>+E6*(1+F7)*E8</f>
        <v>2400000</v>
      </c>
      <c r="G48" s="565">
        <f>+E6*(1+F7)*(1+G7)*E8</f>
        <v>3120000</v>
      </c>
      <c r="H48" s="565">
        <f>+E6*(1+F7)*(1+G7)*(1+H7)*E8</f>
        <v>3744000</v>
      </c>
      <c r="I48" s="565">
        <f>+E6*(1+F7)*(1+G7)*(1+H7)*(1+I7)*E8</f>
        <v>2620800</v>
      </c>
      <c r="J48" s="103"/>
    </row>
    <row r="49" spans="3:11" x14ac:dyDescent="0.25">
      <c r="C49" s="100" t="s">
        <v>26</v>
      </c>
      <c r="D49" s="88"/>
      <c r="E49" s="88">
        <f>+E11</f>
        <v>10400</v>
      </c>
      <c r="F49" s="88">
        <f>+F11</f>
        <v>268320</v>
      </c>
      <c r="G49" s="88">
        <f>+G11</f>
        <v>638240</v>
      </c>
      <c r="H49" s="88">
        <f>+H11</f>
        <v>974560</v>
      </c>
      <c r="I49" s="88">
        <f>+I11</f>
        <v>636360</v>
      </c>
      <c r="J49" s="103"/>
    </row>
    <row r="50" spans="3:11" x14ac:dyDescent="0.25">
      <c r="C50" s="100" t="s">
        <v>155</v>
      </c>
      <c r="D50" s="88"/>
      <c r="E50" s="88">
        <f>+E49/(1-$E$10)</f>
        <v>14857.142857142859</v>
      </c>
      <c r="F50" s="88">
        <f t="shared" ref="F50:I50" si="4">+F49/(1-$E$10)</f>
        <v>383314.28571428574</v>
      </c>
      <c r="G50" s="88">
        <f t="shared" si="4"/>
        <v>911771.42857142864</v>
      </c>
      <c r="H50" s="88">
        <f t="shared" si="4"/>
        <v>1392228.5714285716</v>
      </c>
      <c r="I50" s="88">
        <f t="shared" si="4"/>
        <v>909085.71428571432</v>
      </c>
      <c r="J50" s="103"/>
    </row>
    <row r="51" spans="3:11" x14ac:dyDescent="0.25">
      <c r="C51" s="100" t="s">
        <v>275</v>
      </c>
      <c r="D51" s="88"/>
      <c r="E51" s="88">
        <f>+E42</f>
        <v>128000</v>
      </c>
      <c r="F51" s="88">
        <f t="shared" ref="F51:I51" si="5">+F42</f>
        <v>107033.9224582726</v>
      </c>
      <c r="G51" s="88">
        <f t="shared" si="5"/>
        <v>83971.237162372447</v>
      </c>
      <c r="H51" s="88">
        <f t="shared" si="5"/>
        <v>58602.283336882283</v>
      </c>
      <c r="I51" s="88">
        <f t="shared" si="5"/>
        <v>30696.434128843102</v>
      </c>
      <c r="J51" s="103"/>
    </row>
    <row r="52" spans="3:11" x14ac:dyDescent="0.25">
      <c r="C52" s="100" t="s">
        <v>156</v>
      </c>
      <c r="D52" s="88"/>
      <c r="E52" s="88">
        <f>SUM(E50:E51)</f>
        <v>142857.14285714287</v>
      </c>
      <c r="F52" s="88">
        <f t="shared" ref="F52:I52" si="6">SUM(F50:F51)</f>
        <v>490348.20817255834</v>
      </c>
      <c r="G52" s="88">
        <f t="shared" si="6"/>
        <v>995742.66573380108</v>
      </c>
      <c r="H52" s="88">
        <f t="shared" si="6"/>
        <v>1450830.8547654538</v>
      </c>
      <c r="I52" s="88">
        <f t="shared" si="6"/>
        <v>939782.14841455745</v>
      </c>
      <c r="J52" s="103">
        <f>+I52</f>
        <v>939782.14841455745</v>
      </c>
    </row>
    <row r="53" spans="3:11" x14ac:dyDescent="0.25">
      <c r="C53" s="100" t="s">
        <v>372</v>
      </c>
      <c r="D53" s="88"/>
      <c r="E53" s="88">
        <f>+E52*(1-$E$10)</f>
        <v>100000</v>
      </c>
      <c r="F53" s="88">
        <f t="shared" ref="F53:I53" si="7">+F52*(1-$E$10)</f>
        <v>343243.74572079082</v>
      </c>
      <c r="G53" s="88">
        <f t="shared" si="7"/>
        <v>697019.86601366068</v>
      </c>
      <c r="H53" s="88">
        <f t="shared" si="7"/>
        <v>1015581.5983358176</v>
      </c>
      <c r="I53" s="88">
        <f t="shared" si="7"/>
        <v>657847.50389019016</v>
      </c>
      <c r="J53" s="103"/>
    </row>
    <row r="54" spans="3:11" x14ac:dyDescent="0.25">
      <c r="C54" s="100" t="s">
        <v>277</v>
      </c>
      <c r="D54" s="88"/>
      <c r="E54" s="88"/>
      <c r="F54" s="88"/>
      <c r="G54" s="88"/>
      <c r="H54" s="88"/>
      <c r="I54" s="88">
        <f>(I14-((100%-SUM(E9:I9))*D34))</f>
        <v>-90000.002857143336</v>
      </c>
      <c r="J54" s="103"/>
    </row>
    <row r="55" spans="3:11" x14ac:dyDescent="0.25">
      <c r="C55" s="100" t="s">
        <v>278</v>
      </c>
      <c r="D55" s="88"/>
      <c r="E55" s="88">
        <f>+E52</f>
        <v>142857.14285714287</v>
      </c>
      <c r="F55" s="88">
        <f t="shared" ref="F55:H55" si="8">+F52</f>
        <v>490348.20817255834</v>
      </c>
      <c r="G55" s="88">
        <f t="shared" si="8"/>
        <v>995742.66573380108</v>
      </c>
      <c r="H55" s="88">
        <f t="shared" si="8"/>
        <v>1450830.8547654538</v>
      </c>
      <c r="I55" s="88">
        <f>+I52+I54</f>
        <v>849782.14555741416</v>
      </c>
      <c r="J55" s="103">
        <f t="shared" ref="J55" si="9">SUM(J52:J54)</f>
        <v>939782.14841455745</v>
      </c>
    </row>
    <row r="56" spans="3:11" x14ac:dyDescent="0.25">
      <c r="C56" s="100" t="s">
        <v>9</v>
      </c>
      <c r="D56" s="88"/>
      <c r="E56" s="88">
        <f>+E55*(1-$E$10)</f>
        <v>100000</v>
      </c>
      <c r="F56" s="88">
        <f t="shared" ref="F56:J56" si="10">+F55*(1-$E$10)</f>
        <v>343243.74572079082</v>
      </c>
      <c r="G56" s="88">
        <f t="shared" si="10"/>
        <v>697019.86601366068</v>
      </c>
      <c r="H56" s="88">
        <f t="shared" si="10"/>
        <v>1015581.5983358176</v>
      </c>
      <c r="I56" s="88">
        <f t="shared" si="10"/>
        <v>594847.50189018983</v>
      </c>
      <c r="J56" s="103">
        <f t="shared" si="10"/>
        <v>657847.50389019016</v>
      </c>
    </row>
    <row r="57" spans="3:11" x14ac:dyDescent="0.25">
      <c r="C57" s="137" t="s">
        <v>9</v>
      </c>
      <c r="D57" s="111"/>
      <c r="E57" s="111">
        <f t="shared" ref="E57:J57" si="11">SUM(E56:E56)</f>
        <v>100000</v>
      </c>
      <c r="F57" s="111">
        <f t="shared" si="11"/>
        <v>343243.74572079082</v>
      </c>
      <c r="G57" s="111">
        <f t="shared" si="11"/>
        <v>697019.86601366068</v>
      </c>
      <c r="H57" s="111">
        <f t="shared" si="11"/>
        <v>1015581.5983358176</v>
      </c>
      <c r="I57" s="111">
        <f t="shared" si="11"/>
        <v>594847.50189018983</v>
      </c>
      <c r="J57" s="112">
        <f t="shared" si="11"/>
        <v>657847.50389019016</v>
      </c>
      <c r="K57" s="97"/>
    </row>
    <row r="59" spans="3:11" x14ac:dyDescent="0.25">
      <c r="C59" s="127" t="s">
        <v>157</v>
      </c>
      <c r="D59" s="71" t="s">
        <v>23</v>
      </c>
      <c r="E59" s="71" t="s">
        <v>0</v>
      </c>
      <c r="F59" s="71" t="s">
        <v>1</v>
      </c>
      <c r="G59" s="71" t="s">
        <v>2</v>
      </c>
      <c r="H59" s="71" t="s">
        <v>3</v>
      </c>
      <c r="I59" s="72" t="s">
        <v>38</v>
      </c>
    </row>
    <row r="60" spans="3:11" x14ac:dyDescent="0.25">
      <c r="C60" s="266" t="s">
        <v>9</v>
      </c>
      <c r="D60" s="88"/>
      <c r="E60" s="88">
        <f>+E57</f>
        <v>100000</v>
      </c>
      <c r="F60" s="88">
        <f t="shared" ref="F60:I60" si="12">+F57</f>
        <v>343243.74572079082</v>
      </c>
      <c r="G60" s="88">
        <f t="shared" si="12"/>
        <v>697019.86601366068</v>
      </c>
      <c r="H60" s="88">
        <f t="shared" si="12"/>
        <v>1015581.5983358176</v>
      </c>
      <c r="I60" s="103">
        <f t="shared" si="12"/>
        <v>594847.50189018983</v>
      </c>
    </row>
    <row r="61" spans="3:11" x14ac:dyDescent="0.25">
      <c r="C61" s="266" t="s">
        <v>179</v>
      </c>
      <c r="D61" s="88"/>
      <c r="E61" s="88">
        <f>+$D$12*E9</f>
        <v>857142.85714285704</v>
      </c>
      <c r="F61" s="88">
        <f>+$D$12*F9</f>
        <v>714285.7142857142</v>
      </c>
      <c r="G61" s="88">
        <f>+$D$12*G9</f>
        <v>571428.57142857136</v>
      </c>
      <c r="H61" s="88">
        <f>+$D$12*H9</f>
        <v>428571.42857142852</v>
      </c>
      <c r="I61" s="103">
        <f>+$D$12*I9</f>
        <v>285714.28571428568</v>
      </c>
    </row>
    <row r="62" spans="3:11" x14ac:dyDescent="0.25">
      <c r="C62" s="100" t="s">
        <v>279</v>
      </c>
      <c r="D62" s="88"/>
      <c r="E62" s="88"/>
      <c r="F62" s="88"/>
      <c r="G62" s="88"/>
      <c r="H62" s="88"/>
      <c r="I62" s="103">
        <f>D34-SUM(E61:I61)</f>
        <v>142857.14285714272</v>
      </c>
    </row>
    <row r="63" spans="3:11" x14ac:dyDescent="0.25">
      <c r="C63" s="100" t="s">
        <v>96</v>
      </c>
      <c r="D63" s="88"/>
      <c r="E63" s="88"/>
      <c r="F63" s="88"/>
      <c r="G63" s="88"/>
      <c r="H63" s="88"/>
      <c r="I63" s="103">
        <f>-SUM(D66:H66)</f>
        <v>262080</v>
      </c>
    </row>
    <row r="64" spans="3:11" x14ac:dyDescent="0.25">
      <c r="C64" s="266" t="s">
        <v>273</v>
      </c>
      <c r="D64" s="88">
        <f>SUM(D65:D66)</f>
        <v>-3200000</v>
      </c>
      <c r="E64" s="88">
        <f t="shared" ref="E64:H64" si="13">SUM(E65:E66)</f>
        <v>-40000</v>
      </c>
      <c r="F64" s="88">
        <f t="shared" si="13"/>
        <v>-72000</v>
      </c>
      <c r="G64" s="88">
        <f t="shared" si="13"/>
        <v>-62400</v>
      </c>
      <c r="H64" s="88">
        <f t="shared" si="13"/>
        <v>112320</v>
      </c>
      <c r="I64" s="103"/>
    </row>
    <row r="65" spans="3:9" x14ac:dyDescent="0.25">
      <c r="C65" s="266" t="s">
        <v>276</v>
      </c>
      <c r="D65" s="88">
        <f>-D12</f>
        <v>-3000000</v>
      </c>
      <c r="E65" s="88"/>
      <c r="F65" s="88"/>
      <c r="G65" s="88"/>
      <c r="H65" s="88"/>
      <c r="I65" s="103"/>
    </row>
    <row r="66" spans="3:9" x14ac:dyDescent="0.25">
      <c r="C66" s="266" t="s">
        <v>29</v>
      </c>
      <c r="D66" s="88">
        <f>-(E48-D48)*$D$13</f>
        <v>-200000</v>
      </c>
      <c r="E66" s="88">
        <f>-(F48-E48)*$D$13</f>
        <v>-40000</v>
      </c>
      <c r="F66" s="88">
        <f>-(G48-F48)*$D$13</f>
        <v>-72000</v>
      </c>
      <c r="G66" s="88">
        <f>-(H48-G48)*$D$13</f>
        <v>-62400</v>
      </c>
      <c r="H66" s="88">
        <f>-(I48-H48)*$D$13</f>
        <v>112320</v>
      </c>
      <c r="I66" s="103"/>
    </row>
    <row r="67" spans="3:9" x14ac:dyDescent="0.25">
      <c r="C67" s="268" t="s">
        <v>98</v>
      </c>
      <c r="D67" s="111">
        <f>SUM(D60:D64)</f>
        <v>-3200000</v>
      </c>
      <c r="E67" s="111">
        <f>SUM(E60:E64)</f>
        <v>917142.85714285704</v>
      </c>
      <c r="F67" s="111">
        <f t="shared" ref="F67:I67" si="14">SUM(F60:F64)</f>
        <v>985529.46000650502</v>
      </c>
      <c r="G67" s="111">
        <f t="shared" si="14"/>
        <v>1206048.4374422319</v>
      </c>
      <c r="H67" s="111">
        <f t="shared" si="14"/>
        <v>1556473.0269072461</v>
      </c>
      <c r="I67" s="112">
        <f t="shared" si="14"/>
        <v>1285498.9304616181</v>
      </c>
    </row>
    <row r="69" spans="3:9" x14ac:dyDescent="0.25">
      <c r="C69" s="127" t="s">
        <v>280</v>
      </c>
      <c r="D69" s="110">
        <f>+D67+NPV(D32,E67:I67)</f>
        <v>-396703.4815926291</v>
      </c>
    </row>
  </sheetData>
  <sheetProtection algorithmName="SHA-512" hashValue="DaAdXdq29Dfs7ccwXszy/qQmvRVg9YPwzaLz9OtBATJBmr778isX0tdMf7pTRncaghyfCxzztgYeBVMuWFVbNg==" saltValue="jUTqxmaAua2ndGEwTerV+g==" spinCount="100000" sheet="1" objects="1" scenarios="1"/>
  <mergeCells count="4">
    <mergeCell ref="E8:I8"/>
    <mergeCell ref="E10:I10"/>
    <mergeCell ref="C1:J1"/>
    <mergeCell ref="C3:I4"/>
  </mergeCells>
  <pageMargins left="0.7" right="0.7" top="0.75" bottom="0.75" header="0.3" footer="0.3"/>
  <pageSetup orientation="portrait" horizontalDpi="360" verticalDpi="36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F86"/>
  <sheetViews>
    <sheetView zoomScaleNormal="100" workbookViewId="0">
      <selection activeCell="J9" sqref="J9"/>
    </sheetView>
  </sheetViews>
  <sheetFormatPr baseColWidth="10" defaultRowHeight="13.8" x14ac:dyDescent="0.25"/>
  <cols>
    <col min="1" max="1" width="20.6640625" style="199" customWidth="1"/>
    <col min="2" max="2" width="2.88671875" style="200" customWidth="1"/>
    <col min="3" max="3" width="15.88671875" style="200" customWidth="1"/>
    <col min="4" max="4" width="11.44140625" style="199"/>
    <col min="5" max="5" width="15.6640625" style="179" bestFit="1" customWidth="1"/>
    <col min="6" max="6" width="21.33203125" style="199" bestFit="1" customWidth="1"/>
    <col min="7" max="257" width="11.44140625" style="199"/>
    <col min="258" max="258" width="2.88671875" style="199" customWidth="1"/>
    <col min="259" max="259" width="23.109375" style="199" bestFit="1" customWidth="1"/>
    <col min="260" max="260" width="11.44140625" style="199"/>
    <col min="261" max="261" width="12.44140625" style="199" customWidth="1"/>
    <col min="262" max="513" width="11.44140625" style="199"/>
    <col min="514" max="514" width="2.88671875" style="199" customWidth="1"/>
    <col min="515" max="515" width="23.109375" style="199" bestFit="1" customWidth="1"/>
    <col min="516" max="516" width="11.44140625" style="199"/>
    <col min="517" max="517" width="12.44140625" style="199" customWidth="1"/>
    <col min="518" max="769" width="11.44140625" style="199"/>
    <col min="770" max="770" width="2.88671875" style="199" customWidth="1"/>
    <col min="771" max="771" width="23.109375" style="199" bestFit="1" customWidth="1"/>
    <col min="772" max="772" width="11.44140625" style="199"/>
    <col min="773" max="773" width="12.44140625" style="199" customWidth="1"/>
    <col min="774" max="1025" width="11.44140625" style="199"/>
    <col min="1026" max="1026" width="2.88671875" style="199" customWidth="1"/>
    <col min="1027" max="1027" width="23.109375" style="199" bestFit="1" customWidth="1"/>
    <col min="1028" max="1028" width="11.44140625" style="199"/>
    <col min="1029" max="1029" width="12.44140625" style="199" customWidth="1"/>
    <col min="1030" max="1281" width="11.44140625" style="199"/>
    <col min="1282" max="1282" width="2.88671875" style="199" customWidth="1"/>
    <col min="1283" max="1283" width="23.109375" style="199" bestFit="1" customWidth="1"/>
    <col min="1284" max="1284" width="11.44140625" style="199"/>
    <col min="1285" max="1285" width="12.44140625" style="199" customWidth="1"/>
    <col min="1286" max="1537" width="11.44140625" style="199"/>
    <col min="1538" max="1538" width="2.88671875" style="199" customWidth="1"/>
    <col min="1539" max="1539" width="23.109375" style="199" bestFit="1" customWidth="1"/>
    <col min="1540" max="1540" width="11.44140625" style="199"/>
    <col min="1541" max="1541" width="12.44140625" style="199" customWidth="1"/>
    <col min="1542" max="1793" width="11.44140625" style="199"/>
    <col min="1794" max="1794" width="2.88671875" style="199" customWidth="1"/>
    <col min="1795" max="1795" width="23.109375" style="199" bestFit="1" customWidth="1"/>
    <col min="1796" max="1796" width="11.44140625" style="199"/>
    <col min="1797" max="1797" width="12.44140625" style="199" customWidth="1"/>
    <col min="1798" max="2049" width="11.44140625" style="199"/>
    <col min="2050" max="2050" width="2.88671875" style="199" customWidth="1"/>
    <col min="2051" max="2051" width="23.109375" style="199" bestFit="1" customWidth="1"/>
    <col min="2052" max="2052" width="11.44140625" style="199"/>
    <col min="2053" max="2053" width="12.44140625" style="199" customWidth="1"/>
    <col min="2054" max="2305" width="11.44140625" style="199"/>
    <col min="2306" max="2306" width="2.88671875" style="199" customWidth="1"/>
    <col min="2307" max="2307" width="23.109375" style="199" bestFit="1" customWidth="1"/>
    <col min="2308" max="2308" width="11.44140625" style="199"/>
    <col min="2309" max="2309" width="12.44140625" style="199" customWidth="1"/>
    <col min="2310" max="2561" width="11.44140625" style="199"/>
    <col min="2562" max="2562" width="2.88671875" style="199" customWidth="1"/>
    <col min="2563" max="2563" width="23.109375" style="199" bestFit="1" customWidth="1"/>
    <col min="2564" max="2564" width="11.44140625" style="199"/>
    <col min="2565" max="2565" width="12.44140625" style="199" customWidth="1"/>
    <col min="2566" max="2817" width="11.44140625" style="199"/>
    <col min="2818" max="2818" width="2.88671875" style="199" customWidth="1"/>
    <col min="2819" max="2819" width="23.109375" style="199" bestFit="1" customWidth="1"/>
    <col min="2820" max="2820" width="11.44140625" style="199"/>
    <col min="2821" max="2821" width="12.44140625" style="199" customWidth="1"/>
    <col min="2822" max="3073" width="11.44140625" style="199"/>
    <col min="3074" max="3074" width="2.88671875" style="199" customWidth="1"/>
    <col min="3075" max="3075" width="23.109375" style="199" bestFit="1" customWidth="1"/>
    <col min="3076" max="3076" width="11.44140625" style="199"/>
    <col min="3077" max="3077" width="12.44140625" style="199" customWidth="1"/>
    <col min="3078" max="3329" width="11.44140625" style="199"/>
    <col min="3330" max="3330" width="2.88671875" style="199" customWidth="1"/>
    <col min="3331" max="3331" width="23.109375" style="199" bestFit="1" customWidth="1"/>
    <col min="3332" max="3332" width="11.44140625" style="199"/>
    <col min="3333" max="3333" width="12.44140625" style="199" customWidth="1"/>
    <col min="3334" max="3585" width="11.44140625" style="199"/>
    <col min="3586" max="3586" width="2.88671875" style="199" customWidth="1"/>
    <col min="3587" max="3587" width="23.109375" style="199" bestFit="1" customWidth="1"/>
    <col min="3588" max="3588" width="11.44140625" style="199"/>
    <col min="3589" max="3589" width="12.44140625" style="199" customWidth="1"/>
    <col min="3590" max="3841" width="11.44140625" style="199"/>
    <col min="3842" max="3842" width="2.88671875" style="199" customWidth="1"/>
    <col min="3843" max="3843" width="23.109375" style="199" bestFit="1" customWidth="1"/>
    <col min="3844" max="3844" width="11.44140625" style="199"/>
    <col min="3845" max="3845" width="12.44140625" style="199" customWidth="1"/>
    <col min="3846" max="4097" width="11.44140625" style="199"/>
    <col min="4098" max="4098" width="2.88671875" style="199" customWidth="1"/>
    <col min="4099" max="4099" width="23.109375" style="199" bestFit="1" customWidth="1"/>
    <col min="4100" max="4100" width="11.44140625" style="199"/>
    <col min="4101" max="4101" width="12.44140625" style="199" customWidth="1"/>
    <col min="4102" max="4353" width="11.44140625" style="199"/>
    <col min="4354" max="4354" width="2.88671875" style="199" customWidth="1"/>
    <col min="4355" max="4355" width="23.109375" style="199" bestFit="1" customWidth="1"/>
    <col min="4356" max="4356" width="11.44140625" style="199"/>
    <col min="4357" max="4357" width="12.44140625" style="199" customWidth="1"/>
    <col min="4358" max="4609" width="11.44140625" style="199"/>
    <col min="4610" max="4610" width="2.88671875" style="199" customWidth="1"/>
    <col min="4611" max="4611" width="23.109375" style="199" bestFit="1" customWidth="1"/>
    <col min="4612" max="4612" width="11.44140625" style="199"/>
    <col min="4613" max="4613" width="12.44140625" style="199" customWidth="1"/>
    <col min="4614" max="4865" width="11.44140625" style="199"/>
    <col min="4866" max="4866" width="2.88671875" style="199" customWidth="1"/>
    <col min="4867" max="4867" width="23.109375" style="199" bestFit="1" customWidth="1"/>
    <col min="4868" max="4868" width="11.44140625" style="199"/>
    <col min="4869" max="4869" width="12.44140625" style="199" customWidth="1"/>
    <col min="4870" max="5121" width="11.44140625" style="199"/>
    <col min="5122" max="5122" width="2.88671875" style="199" customWidth="1"/>
    <col min="5123" max="5123" width="23.109375" style="199" bestFit="1" customWidth="1"/>
    <col min="5124" max="5124" width="11.44140625" style="199"/>
    <col min="5125" max="5125" width="12.44140625" style="199" customWidth="1"/>
    <col min="5126" max="5377" width="11.44140625" style="199"/>
    <col min="5378" max="5378" width="2.88671875" style="199" customWidth="1"/>
    <col min="5379" max="5379" width="23.109375" style="199" bestFit="1" customWidth="1"/>
    <col min="5380" max="5380" width="11.44140625" style="199"/>
    <col min="5381" max="5381" width="12.44140625" style="199" customWidth="1"/>
    <col min="5382" max="5633" width="11.44140625" style="199"/>
    <col min="5634" max="5634" width="2.88671875" style="199" customWidth="1"/>
    <col min="5635" max="5635" width="23.109375" style="199" bestFit="1" customWidth="1"/>
    <col min="5636" max="5636" width="11.44140625" style="199"/>
    <col min="5637" max="5637" width="12.44140625" style="199" customWidth="1"/>
    <col min="5638" max="5889" width="11.44140625" style="199"/>
    <col min="5890" max="5890" width="2.88671875" style="199" customWidth="1"/>
    <col min="5891" max="5891" width="23.109375" style="199" bestFit="1" customWidth="1"/>
    <col min="5892" max="5892" width="11.44140625" style="199"/>
    <col min="5893" max="5893" width="12.44140625" style="199" customWidth="1"/>
    <col min="5894" max="6145" width="11.44140625" style="199"/>
    <col min="6146" max="6146" width="2.88671875" style="199" customWidth="1"/>
    <col min="6147" max="6147" width="23.109375" style="199" bestFit="1" customWidth="1"/>
    <col min="6148" max="6148" width="11.44140625" style="199"/>
    <col min="6149" max="6149" width="12.44140625" style="199" customWidth="1"/>
    <col min="6150" max="6401" width="11.44140625" style="199"/>
    <col min="6402" max="6402" width="2.88671875" style="199" customWidth="1"/>
    <col min="6403" max="6403" width="23.109375" style="199" bestFit="1" customWidth="1"/>
    <col min="6404" max="6404" width="11.44140625" style="199"/>
    <col min="6405" max="6405" width="12.44140625" style="199" customWidth="1"/>
    <col min="6406" max="6657" width="11.44140625" style="199"/>
    <col min="6658" max="6658" width="2.88671875" style="199" customWidth="1"/>
    <col min="6659" max="6659" width="23.109375" style="199" bestFit="1" customWidth="1"/>
    <col min="6660" max="6660" width="11.44140625" style="199"/>
    <col min="6661" max="6661" width="12.44140625" style="199" customWidth="1"/>
    <col min="6662" max="6913" width="11.44140625" style="199"/>
    <col min="6914" max="6914" width="2.88671875" style="199" customWidth="1"/>
    <col min="6915" max="6915" width="23.109375" style="199" bestFit="1" customWidth="1"/>
    <col min="6916" max="6916" width="11.44140625" style="199"/>
    <col min="6917" max="6917" width="12.44140625" style="199" customWidth="1"/>
    <col min="6918" max="7169" width="11.44140625" style="199"/>
    <col min="7170" max="7170" width="2.88671875" style="199" customWidth="1"/>
    <col min="7171" max="7171" width="23.109375" style="199" bestFit="1" customWidth="1"/>
    <col min="7172" max="7172" width="11.44140625" style="199"/>
    <col min="7173" max="7173" width="12.44140625" style="199" customWidth="1"/>
    <col min="7174" max="7425" width="11.44140625" style="199"/>
    <col min="7426" max="7426" width="2.88671875" style="199" customWidth="1"/>
    <col min="7427" max="7427" width="23.109375" style="199" bestFit="1" customWidth="1"/>
    <col min="7428" max="7428" width="11.44140625" style="199"/>
    <col min="7429" max="7429" width="12.44140625" style="199" customWidth="1"/>
    <col min="7430" max="7681" width="11.44140625" style="199"/>
    <col min="7682" max="7682" width="2.88671875" style="199" customWidth="1"/>
    <col min="7683" max="7683" width="23.109375" style="199" bestFit="1" customWidth="1"/>
    <col min="7684" max="7684" width="11.44140625" style="199"/>
    <col min="7685" max="7685" width="12.44140625" style="199" customWidth="1"/>
    <col min="7686" max="7937" width="11.44140625" style="199"/>
    <col min="7938" max="7938" width="2.88671875" style="199" customWidth="1"/>
    <col min="7939" max="7939" width="23.109375" style="199" bestFit="1" customWidth="1"/>
    <col min="7940" max="7940" width="11.44140625" style="199"/>
    <col min="7941" max="7941" width="12.44140625" style="199" customWidth="1"/>
    <col min="7942" max="8193" width="11.44140625" style="199"/>
    <col min="8194" max="8194" width="2.88671875" style="199" customWidth="1"/>
    <col min="8195" max="8195" width="23.109375" style="199" bestFit="1" customWidth="1"/>
    <col min="8196" max="8196" width="11.44140625" style="199"/>
    <col min="8197" max="8197" width="12.44140625" style="199" customWidth="1"/>
    <col min="8198" max="8449" width="11.44140625" style="199"/>
    <col min="8450" max="8450" width="2.88671875" style="199" customWidth="1"/>
    <col min="8451" max="8451" width="23.109375" style="199" bestFit="1" customWidth="1"/>
    <col min="8452" max="8452" width="11.44140625" style="199"/>
    <col min="8453" max="8453" width="12.44140625" style="199" customWidth="1"/>
    <col min="8454" max="8705" width="11.44140625" style="199"/>
    <col min="8706" max="8706" width="2.88671875" style="199" customWidth="1"/>
    <col min="8707" max="8707" width="23.109375" style="199" bestFit="1" customWidth="1"/>
    <col min="8708" max="8708" width="11.44140625" style="199"/>
    <col min="8709" max="8709" width="12.44140625" style="199" customWidth="1"/>
    <col min="8710" max="8961" width="11.44140625" style="199"/>
    <col min="8962" max="8962" width="2.88671875" style="199" customWidth="1"/>
    <col min="8963" max="8963" width="23.109375" style="199" bestFit="1" customWidth="1"/>
    <col min="8964" max="8964" width="11.44140625" style="199"/>
    <col min="8965" max="8965" width="12.44140625" style="199" customWidth="1"/>
    <col min="8966" max="9217" width="11.44140625" style="199"/>
    <col min="9218" max="9218" width="2.88671875" style="199" customWidth="1"/>
    <col min="9219" max="9219" width="23.109375" style="199" bestFit="1" customWidth="1"/>
    <col min="9220" max="9220" width="11.44140625" style="199"/>
    <col min="9221" max="9221" width="12.44140625" style="199" customWidth="1"/>
    <col min="9222" max="9473" width="11.44140625" style="199"/>
    <col min="9474" max="9474" width="2.88671875" style="199" customWidth="1"/>
    <col min="9475" max="9475" width="23.109375" style="199" bestFit="1" customWidth="1"/>
    <col min="9476" max="9476" width="11.44140625" style="199"/>
    <col min="9477" max="9477" width="12.44140625" style="199" customWidth="1"/>
    <col min="9478" max="9729" width="11.44140625" style="199"/>
    <col min="9730" max="9730" width="2.88671875" style="199" customWidth="1"/>
    <col min="9731" max="9731" width="23.109375" style="199" bestFit="1" customWidth="1"/>
    <col min="9732" max="9732" width="11.44140625" style="199"/>
    <col min="9733" max="9733" width="12.44140625" style="199" customWidth="1"/>
    <col min="9734" max="9985" width="11.44140625" style="199"/>
    <col min="9986" max="9986" width="2.88671875" style="199" customWidth="1"/>
    <col min="9987" max="9987" width="23.109375" style="199" bestFit="1" customWidth="1"/>
    <col min="9988" max="9988" width="11.44140625" style="199"/>
    <col min="9989" max="9989" width="12.44140625" style="199" customWidth="1"/>
    <col min="9990" max="10241" width="11.44140625" style="199"/>
    <col min="10242" max="10242" width="2.88671875" style="199" customWidth="1"/>
    <col min="10243" max="10243" width="23.109375" style="199" bestFit="1" customWidth="1"/>
    <col min="10244" max="10244" width="11.44140625" style="199"/>
    <col min="10245" max="10245" width="12.44140625" style="199" customWidth="1"/>
    <col min="10246" max="10497" width="11.44140625" style="199"/>
    <col min="10498" max="10498" width="2.88671875" style="199" customWidth="1"/>
    <col min="10499" max="10499" width="23.109375" style="199" bestFit="1" customWidth="1"/>
    <col min="10500" max="10500" width="11.44140625" style="199"/>
    <col min="10501" max="10501" width="12.44140625" style="199" customWidth="1"/>
    <col min="10502" max="10753" width="11.44140625" style="199"/>
    <col min="10754" max="10754" width="2.88671875" style="199" customWidth="1"/>
    <col min="10755" max="10755" width="23.109375" style="199" bestFit="1" customWidth="1"/>
    <col min="10756" max="10756" width="11.44140625" style="199"/>
    <col min="10757" max="10757" width="12.44140625" style="199" customWidth="1"/>
    <col min="10758" max="11009" width="11.44140625" style="199"/>
    <col min="11010" max="11010" width="2.88671875" style="199" customWidth="1"/>
    <col min="11011" max="11011" width="23.109375" style="199" bestFit="1" customWidth="1"/>
    <col min="11012" max="11012" width="11.44140625" style="199"/>
    <col min="11013" max="11013" width="12.44140625" style="199" customWidth="1"/>
    <col min="11014" max="11265" width="11.44140625" style="199"/>
    <col min="11266" max="11266" width="2.88671875" style="199" customWidth="1"/>
    <col min="11267" max="11267" width="23.109375" style="199" bestFit="1" customWidth="1"/>
    <col min="11268" max="11268" width="11.44140625" style="199"/>
    <col min="11269" max="11269" width="12.44140625" style="199" customWidth="1"/>
    <col min="11270" max="11521" width="11.44140625" style="199"/>
    <col min="11522" max="11522" width="2.88671875" style="199" customWidth="1"/>
    <col min="11523" max="11523" width="23.109375" style="199" bestFit="1" customWidth="1"/>
    <col min="11524" max="11524" width="11.44140625" style="199"/>
    <col min="11525" max="11525" width="12.44140625" style="199" customWidth="1"/>
    <col min="11526" max="11777" width="11.44140625" style="199"/>
    <col min="11778" max="11778" width="2.88671875" style="199" customWidth="1"/>
    <col min="11779" max="11779" width="23.109375" style="199" bestFit="1" customWidth="1"/>
    <col min="11780" max="11780" width="11.44140625" style="199"/>
    <col min="11781" max="11781" width="12.44140625" style="199" customWidth="1"/>
    <col min="11782" max="12033" width="11.44140625" style="199"/>
    <col min="12034" max="12034" width="2.88671875" style="199" customWidth="1"/>
    <col min="12035" max="12035" width="23.109375" style="199" bestFit="1" customWidth="1"/>
    <col min="12036" max="12036" width="11.44140625" style="199"/>
    <col min="12037" max="12037" width="12.44140625" style="199" customWidth="1"/>
    <col min="12038" max="12289" width="11.44140625" style="199"/>
    <col min="12290" max="12290" width="2.88671875" style="199" customWidth="1"/>
    <col min="12291" max="12291" width="23.109375" style="199" bestFit="1" customWidth="1"/>
    <col min="12292" max="12292" width="11.44140625" style="199"/>
    <col min="12293" max="12293" width="12.44140625" style="199" customWidth="1"/>
    <col min="12294" max="12545" width="11.44140625" style="199"/>
    <col min="12546" max="12546" width="2.88671875" style="199" customWidth="1"/>
    <col min="12547" max="12547" width="23.109375" style="199" bestFit="1" customWidth="1"/>
    <col min="12548" max="12548" width="11.44140625" style="199"/>
    <col min="12549" max="12549" width="12.44140625" style="199" customWidth="1"/>
    <col min="12550" max="12801" width="11.44140625" style="199"/>
    <col min="12802" max="12802" width="2.88671875" style="199" customWidth="1"/>
    <col min="12803" max="12803" width="23.109375" style="199" bestFit="1" customWidth="1"/>
    <col min="12804" max="12804" width="11.44140625" style="199"/>
    <col min="12805" max="12805" width="12.44140625" style="199" customWidth="1"/>
    <col min="12806" max="13057" width="11.44140625" style="199"/>
    <col min="13058" max="13058" width="2.88671875" style="199" customWidth="1"/>
    <col min="13059" max="13059" width="23.109375" style="199" bestFit="1" customWidth="1"/>
    <col min="13060" max="13060" width="11.44140625" style="199"/>
    <col min="13061" max="13061" width="12.44140625" style="199" customWidth="1"/>
    <col min="13062" max="13313" width="11.44140625" style="199"/>
    <col min="13314" max="13314" width="2.88671875" style="199" customWidth="1"/>
    <col min="13315" max="13315" width="23.109375" style="199" bestFit="1" customWidth="1"/>
    <col min="13316" max="13316" width="11.44140625" style="199"/>
    <col min="13317" max="13317" width="12.44140625" style="199" customWidth="1"/>
    <col min="13318" max="13569" width="11.44140625" style="199"/>
    <col min="13570" max="13570" width="2.88671875" style="199" customWidth="1"/>
    <col min="13571" max="13571" width="23.109375" style="199" bestFit="1" customWidth="1"/>
    <col min="13572" max="13572" width="11.44140625" style="199"/>
    <col min="13573" max="13573" width="12.44140625" style="199" customWidth="1"/>
    <col min="13574" max="13825" width="11.44140625" style="199"/>
    <col min="13826" max="13826" width="2.88671875" style="199" customWidth="1"/>
    <col min="13827" max="13827" width="23.109375" style="199" bestFit="1" customWidth="1"/>
    <col min="13828" max="13828" width="11.44140625" style="199"/>
    <col min="13829" max="13829" width="12.44140625" style="199" customWidth="1"/>
    <col min="13830" max="14081" width="11.44140625" style="199"/>
    <col min="14082" max="14082" width="2.88671875" style="199" customWidth="1"/>
    <col min="14083" max="14083" width="23.109375" style="199" bestFit="1" customWidth="1"/>
    <col min="14084" max="14084" width="11.44140625" style="199"/>
    <col min="14085" max="14085" width="12.44140625" style="199" customWidth="1"/>
    <col min="14086" max="14337" width="11.44140625" style="199"/>
    <col min="14338" max="14338" width="2.88671875" style="199" customWidth="1"/>
    <col min="14339" max="14339" width="23.109375" style="199" bestFit="1" customWidth="1"/>
    <col min="14340" max="14340" width="11.44140625" style="199"/>
    <col min="14341" max="14341" width="12.44140625" style="199" customWidth="1"/>
    <col min="14342" max="14593" width="11.44140625" style="199"/>
    <col min="14594" max="14594" width="2.88671875" style="199" customWidth="1"/>
    <col min="14595" max="14595" width="23.109375" style="199" bestFit="1" customWidth="1"/>
    <col min="14596" max="14596" width="11.44140625" style="199"/>
    <col min="14597" max="14597" width="12.44140625" style="199" customWidth="1"/>
    <col min="14598" max="14849" width="11.44140625" style="199"/>
    <col min="14850" max="14850" width="2.88671875" style="199" customWidth="1"/>
    <col min="14851" max="14851" width="23.109375" style="199" bestFit="1" customWidth="1"/>
    <col min="14852" max="14852" width="11.44140625" style="199"/>
    <col min="14853" max="14853" width="12.44140625" style="199" customWidth="1"/>
    <col min="14854" max="15105" width="11.44140625" style="199"/>
    <col min="15106" max="15106" width="2.88671875" style="199" customWidth="1"/>
    <col min="15107" max="15107" width="23.109375" style="199" bestFit="1" customWidth="1"/>
    <col min="15108" max="15108" width="11.44140625" style="199"/>
    <col min="15109" max="15109" width="12.44140625" style="199" customWidth="1"/>
    <col min="15110" max="15361" width="11.44140625" style="199"/>
    <col min="15362" max="15362" width="2.88671875" style="199" customWidth="1"/>
    <col min="15363" max="15363" width="23.109375" style="199" bestFit="1" customWidth="1"/>
    <col min="15364" max="15364" width="11.44140625" style="199"/>
    <col min="15365" max="15365" width="12.44140625" style="199" customWidth="1"/>
    <col min="15366" max="15617" width="11.44140625" style="199"/>
    <col min="15618" max="15618" width="2.88671875" style="199" customWidth="1"/>
    <col min="15619" max="15619" width="23.109375" style="199" bestFit="1" customWidth="1"/>
    <col min="15620" max="15620" width="11.44140625" style="199"/>
    <col min="15621" max="15621" width="12.44140625" style="199" customWidth="1"/>
    <col min="15622" max="15873" width="11.44140625" style="199"/>
    <col min="15874" max="15874" width="2.88671875" style="199" customWidth="1"/>
    <col min="15875" max="15875" width="23.109375" style="199" bestFit="1" customWidth="1"/>
    <col min="15876" max="15876" width="11.44140625" style="199"/>
    <col min="15877" max="15877" width="12.44140625" style="199" customWidth="1"/>
    <col min="15878" max="16129" width="11.44140625" style="199"/>
    <col min="16130" max="16130" width="2.88671875" style="199" customWidth="1"/>
    <col min="16131" max="16131" width="23.109375" style="199" bestFit="1" customWidth="1"/>
    <col min="16132" max="16132" width="11.44140625" style="199"/>
    <col min="16133" max="16133" width="12.44140625" style="199" customWidth="1"/>
    <col min="16134" max="16384" width="11.44140625" style="199"/>
  </cols>
  <sheetData>
    <row r="1" spans="2:6" ht="19.95" customHeight="1" x14ac:dyDescent="0.25">
      <c r="C1" s="692" t="s">
        <v>418</v>
      </c>
      <c r="D1" s="692"/>
      <c r="E1" s="692"/>
      <c r="F1" s="692"/>
    </row>
    <row r="2" spans="2:6" x14ac:dyDescent="0.25">
      <c r="C2" s="201"/>
      <c r="D2" s="202"/>
    </row>
    <row r="3" spans="2:6" x14ac:dyDescent="0.25">
      <c r="C3" s="691"/>
      <c r="D3" s="691"/>
    </row>
    <row r="4" spans="2:6" x14ac:dyDescent="0.25">
      <c r="C4" s="122"/>
      <c r="D4" s="207">
        <v>0.9</v>
      </c>
      <c r="E4" s="208"/>
      <c r="F4" s="209"/>
    </row>
    <row r="5" spans="2:6" ht="16.8" x14ac:dyDescent="0.35">
      <c r="C5" s="145" t="s">
        <v>419</v>
      </c>
      <c r="D5" s="210">
        <v>0.25</v>
      </c>
      <c r="E5" s="211"/>
      <c r="F5" s="212"/>
    </row>
    <row r="6" spans="2:6" ht="16.8" x14ac:dyDescent="0.35">
      <c r="C6" s="145" t="s">
        <v>420</v>
      </c>
      <c r="D6" s="210">
        <v>7.4999999999999997E-2</v>
      </c>
      <c r="E6" s="211"/>
      <c r="F6" s="212"/>
    </row>
    <row r="7" spans="2:6" ht="16.2" x14ac:dyDescent="0.35">
      <c r="C7" s="124" t="s">
        <v>402</v>
      </c>
      <c r="D7" s="213">
        <v>0.04</v>
      </c>
      <c r="E7" s="211"/>
      <c r="F7" s="212"/>
    </row>
    <row r="8" spans="2:6" ht="16.2" x14ac:dyDescent="0.35">
      <c r="C8" s="124" t="s">
        <v>403</v>
      </c>
      <c r="D8" s="213">
        <v>0.08</v>
      </c>
      <c r="E8" s="211"/>
      <c r="F8" s="212"/>
    </row>
    <row r="9" spans="2:6" x14ac:dyDescent="0.25">
      <c r="C9" s="75" t="s">
        <v>20</v>
      </c>
      <c r="D9" s="214">
        <v>200</v>
      </c>
      <c r="E9" s="215" t="s">
        <v>336</v>
      </c>
      <c r="F9" s="216"/>
    </row>
    <row r="10" spans="2:6" ht="8.4" customHeight="1" x14ac:dyDescent="0.25">
      <c r="C10" s="88"/>
      <c r="D10" s="204"/>
    </row>
    <row r="11" spans="2:6" ht="6" customHeight="1" x14ac:dyDescent="0.25">
      <c r="C11" s="86"/>
      <c r="D11" s="177"/>
    </row>
    <row r="12" spans="2:6" ht="18.600000000000001" customHeight="1" x14ac:dyDescent="0.25">
      <c r="C12" s="219"/>
      <c r="D12" s="220">
        <f>+D4*(D5/D6)</f>
        <v>3</v>
      </c>
    </row>
    <row r="13" spans="2:6" ht="16.2" x14ac:dyDescent="0.25">
      <c r="C13" s="218" t="s">
        <v>408</v>
      </c>
      <c r="D13" s="217">
        <f>+D7+D12*D8+(D9/10000)</f>
        <v>0.3</v>
      </c>
    </row>
    <row r="14" spans="2:6" x14ac:dyDescent="0.25">
      <c r="C14" s="199"/>
    </row>
    <row r="16" spans="2:6" x14ac:dyDescent="0.25">
      <c r="B16" s="200" t="s">
        <v>30</v>
      </c>
      <c r="C16" s="226" t="s">
        <v>197</v>
      </c>
      <c r="D16" s="230" t="s">
        <v>98</v>
      </c>
    </row>
    <row r="17" spans="3:4" x14ac:dyDescent="0.25">
      <c r="C17" s="231">
        <v>0</v>
      </c>
      <c r="D17" s="232">
        <f>-100</f>
        <v>-100</v>
      </c>
    </row>
    <row r="18" spans="3:4" x14ac:dyDescent="0.25">
      <c r="C18" s="231">
        <f>+C17+1</f>
        <v>1</v>
      </c>
      <c r="D18" s="232">
        <v>40</v>
      </c>
    </row>
    <row r="19" spans="3:4" x14ac:dyDescent="0.25">
      <c r="C19" s="231">
        <f t="shared" ref="C19:C47" si="0">+C18+1</f>
        <v>2</v>
      </c>
      <c r="D19" s="232">
        <v>40</v>
      </c>
    </row>
    <row r="20" spans="3:4" x14ac:dyDescent="0.25">
      <c r="C20" s="231">
        <f t="shared" si="0"/>
        <v>3</v>
      </c>
      <c r="D20" s="232">
        <v>40</v>
      </c>
    </row>
    <row r="21" spans="3:4" x14ac:dyDescent="0.25">
      <c r="C21" s="231">
        <f t="shared" si="0"/>
        <v>4</v>
      </c>
      <c r="D21" s="232">
        <v>40</v>
      </c>
    </row>
    <row r="22" spans="3:4" x14ac:dyDescent="0.25">
      <c r="C22" s="231">
        <f t="shared" si="0"/>
        <v>5</v>
      </c>
      <c r="D22" s="232">
        <v>40</v>
      </c>
    </row>
    <row r="23" spans="3:4" x14ac:dyDescent="0.25">
      <c r="C23" s="231">
        <f t="shared" si="0"/>
        <v>6</v>
      </c>
      <c r="D23" s="232">
        <v>40</v>
      </c>
    </row>
    <row r="24" spans="3:4" x14ac:dyDescent="0.25">
      <c r="C24" s="231">
        <f t="shared" si="0"/>
        <v>7</v>
      </c>
      <c r="D24" s="232">
        <v>40</v>
      </c>
    </row>
    <row r="25" spans="3:4" x14ac:dyDescent="0.25">
      <c r="C25" s="231">
        <f t="shared" si="0"/>
        <v>8</v>
      </c>
      <c r="D25" s="232">
        <v>40</v>
      </c>
    </row>
    <row r="26" spans="3:4" x14ac:dyDescent="0.25">
      <c r="C26" s="231">
        <f t="shared" si="0"/>
        <v>9</v>
      </c>
      <c r="D26" s="232">
        <v>40</v>
      </c>
    </row>
    <row r="27" spans="3:4" x14ac:dyDescent="0.25">
      <c r="C27" s="231">
        <f t="shared" si="0"/>
        <v>10</v>
      </c>
      <c r="D27" s="232">
        <v>40</v>
      </c>
    </row>
    <row r="28" spans="3:4" x14ac:dyDescent="0.25">
      <c r="C28" s="231">
        <f t="shared" si="0"/>
        <v>11</v>
      </c>
      <c r="D28" s="232">
        <v>45</v>
      </c>
    </row>
    <row r="29" spans="3:4" x14ac:dyDescent="0.25">
      <c r="C29" s="231">
        <f t="shared" si="0"/>
        <v>12</v>
      </c>
      <c r="D29" s="232">
        <v>45</v>
      </c>
    </row>
    <row r="30" spans="3:4" x14ac:dyDescent="0.25">
      <c r="C30" s="231">
        <f t="shared" si="0"/>
        <v>13</v>
      </c>
      <c r="D30" s="232">
        <v>45</v>
      </c>
    </row>
    <row r="31" spans="3:4" x14ac:dyDescent="0.25">
      <c r="C31" s="231">
        <f t="shared" si="0"/>
        <v>14</v>
      </c>
      <c r="D31" s="232">
        <v>45</v>
      </c>
    </row>
    <row r="32" spans="3:4" x14ac:dyDescent="0.25">
      <c r="C32" s="231">
        <f t="shared" si="0"/>
        <v>15</v>
      </c>
      <c r="D32" s="232">
        <v>45</v>
      </c>
    </row>
    <row r="33" spans="3:4" x14ac:dyDescent="0.25">
      <c r="C33" s="231">
        <f t="shared" si="0"/>
        <v>16</v>
      </c>
      <c r="D33" s="232">
        <v>45</v>
      </c>
    </row>
    <row r="34" spans="3:4" x14ac:dyDescent="0.25">
      <c r="C34" s="231">
        <f t="shared" si="0"/>
        <v>17</v>
      </c>
      <c r="D34" s="232">
        <v>45</v>
      </c>
    </row>
    <row r="35" spans="3:4" x14ac:dyDescent="0.25">
      <c r="C35" s="231">
        <f t="shared" si="0"/>
        <v>18</v>
      </c>
      <c r="D35" s="232">
        <v>45</v>
      </c>
    </row>
    <row r="36" spans="3:4" x14ac:dyDescent="0.25">
      <c r="C36" s="231">
        <f t="shared" si="0"/>
        <v>19</v>
      </c>
      <c r="D36" s="232">
        <v>45</v>
      </c>
    </row>
    <row r="37" spans="3:4" x14ac:dyDescent="0.25">
      <c r="C37" s="231">
        <f t="shared" si="0"/>
        <v>20</v>
      </c>
      <c r="D37" s="232">
        <v>45</v>
      </c>
    </row>
    <row r="38" spans="3:4" x14ac:dyDescent="0.25">
      <c r="C38" s="231">
        <f t="shared" si="0"/>
        <v>21</v>
      </c>
      <c r="D38" s="232">
        <v>50</v>
      </c>
    </row>
    <row r="39" spans="3:4" x14ac:dyDescent="0.25">
      <c r="C39" s="231">
        <f t="shared" si="0"/>
        <v>22</v>
      </c>
      <c r="D39" s="232">
        <v>50</v>
      </c>
    </row>
    <row r="40" spans="3:4" x14ac:dyDescent="0.25">
      <c r="C40" s="231">
        <f t="shared" si="0"/>
        <v>23</v>
      </c>
      <c r="D40" s="232">
        <v>50</v>
      </c>
    </row>
    <row r="41" spans="3:4" x14ac:dyDescent="0.25">
      <c r="C41" s="231">
        <f t="shared" si="0"/>
        <v>24</v>
      </c>
      <c r="D41" s="232">
        <v>50</v>
      </c>
    </row>
    <row r="42" spans="3:4" x14ac:dyDescent="0.25">
      <c r="C42" s="231">
        <f t="shared" si="0"/>
        <v>25</v>
      </c>
      <c r="D42" s="232">
        <v>50</v>
      </c>
    </row>
    <row r="43" spans="3:4" x14ac:dyDescent="0.25">
      <c r="C43" s="231">
        <f t="shared" si="0"/>
        <v>26</v>
      </c>
      <c r="D43" s="232">
        <v>50</v>
      </c>
    </row>
    <row r="44" spans="3:4" x14ac:dyDescent="0.25">
      <c r="C44" s="231">
        <f t="shared" si="0"/>
        <v>27</v>
      </c>
      <c r="D44" s="232">
        <v>50</v>
      </c>
    </row>
    <row r="45" spans="3:4" x14ac:dyDescent="0.25">
      <c r="C45" s="231">
        <f t="shared" si="0"/>
        <v>28</v>
      </c>
      <c r="D45" s="232">
        <v>50</v>
      </c>
    </row>
    <row r="46" spans="3:4" x14ac:dyDescent="0.25">
      <c r="C46" s="231">
        <f t="shared" si="0"/>
        <v>29</v>
      </c>
      <c r="D46" s="232">
        <v>50</v>
      </c>
    </row>
    <row r="47" spans="3:4" x14ac:dyDescent="0.25">
      <c r="C47" s="233">
        <f t="shared" si="0"/>
        <v>30</v>
      </c>
      <c r="D47" s="234">
        <v>50</v>
      </c>
    </row>
    <row r="49" spans="2:6" x14ac:dyDescent="0.25">
      <c r="B49" s="223"/>
      <c r="C49" s="224" t="s">
        <v>337</v>
      </c>
      <c r="D49" s="222">
        <f>+D17+NPV(D13,D18:D47)</f>
        <v>34.566385554899057</v>
      </c>
    </row>
    <row r="50" spans="2:6" x14ac:dyDescent="0.25">
      <c r="B50" s="201"/>
    </row>
    <row r="51" spans="2:6" x14ac:dyDescent="0.25">
      <c r="B51" s="200" t="s">
        <v>31</v>
      </c>
      <c r="C51" s="226" t="s">
        <v>197</v>
      </c>
      <c r="D51" s="226" t="s">
        <v>98</v>
      </c>
      <c r="E51" s="229" t="s">
        <v>202</v>
      </c>
      <c r="F51" s="225" t="s">
        <v>295</v>
      </c>
    </row>
    <row r="52" spans="2:6" x14ac:dyDescent="0.25">
      <c r="C52" s="227">
        <v>0</v>
      </c>
      <c r="D52" s="235">
        <f>+D17</f>
        <v>-100</v>
      </c>
      <c r="E52" s="236">
        <f>+D52/(1+$D$13)^C52</f>
        <v>-100</v>
      </c>
      <c r="F52" s="221">
        <f>+D52</f>
        <v>-100</v>
      </c>
    </row>
    <row r="53" spans="2:6" x14ac:dyDescent="0.25">
      <c r="C53" s="227">
        <f>+C52+1</f>
        <v>1</v>
      </c>
      <c r="D53" s="235">
        <f t="shared" ref="D53:D82" si="1">+D18</f>
        <v>40</v>
      </c>
      <c r="E53" s="236">
        <f>+D53/(1+$D$13)^C53</f>
        <v>30.769230769230766</v>
      </c>
      <c r="F53" s="65">
        <f>+F52+E53</f>
        <v>-69.230769230769226</v>
      </c>
    </row>
    <row r="54" spans="2:6" x14ac:dyDescent="0.25">
      <c r="C54" s="227">
        <f t="shared" ref="C54:C82" si="2">+C53+1</f>
        <v>2</v>
      </c>
      <c r="D54" s="235">
        <f t="shared" si="1"/>
        <v>40</v>
      </c>
      <c r="E54" s="236">
        <f t="shared" ref="E54:E82" si="3">+D54/(1+$D$13)^C54</f>
        <v>23.668639053254434</v>
      </c>
      <c r="F54" s="65">
        <f t="shared" ref="F54:F82" si="4">+F53+E54</f>
        <v>-45.562130177514788</v>
      </c>
    </row>
    <row r="55" spans="2:6" x14ac:dyDescent="0.25">
      <c r="C55" s="227">
        <f t="shared" si="2"/>
        <v>3</v>
      </c>
      <c r="D55" s="235">
        <f t="shared" si="1"/>
        <v>40</v>
      </c>
      <c r="E55" s="236">
        <f t="shared" si="3"/>
        <v>18.206645425580334</v>
      </c>
      <c r="F55" s="65">
        <f t="shared" si="4"/>
        <v>-27.355484751934455</v>
      </c>
    </row>
    <row r="56" spans="2:6" x14ac:dyDescent="0.25">
      <c r="C56" s="227">
        <f t="shared" si="2"/>
        <v>4</v>
      </c>
      <c r="D56" s="235">
        <f t="shared" si="1"/>
        <v>40</v>
      </c>
      <c r="E56" s="236">
        <f t="shared" si="3"/>
        <v>14.005111865831026</v>
      </c>
      <c r="F56" s="65">
        <f t="shared" si="4"/>
        <v>-13.350372886103429</v>
      </c>
    </row>
    <row r="57" spans="2:6" x14ac:dyDescent="0.25">
      <c r="C57" s="227">
        <f t="shared" si="2"/>
        <v>5</v>
      </c>
      <c r="D57" s="235">
        <f t="shared" si="1"/>
        <v>40</v>
      </c>
      <c r="E57" s="236">
        <f t="shared" si="3"/>
        <v>10.773162973716174</v>
      </c>
      <c r="F57" s="65">
        <f t="shared" si="4"/>
        <v>-2.5772099123872554</v>
      </c>
    </row>
    <row r="58" spans="2:6" x14ac:dyDescent="0.25">
      <c r="C58" s="227">
        <f t="shared" si="2"/>
        <v>6</v>
      </c>
      <c r="D58" s="235">
        <f t="shared" si="1"/>
        <v>40</v>
      </c>
      <c r="E58" s="236">
        <f t="shared" si="3"/>
        <v>8.2870484413201329</v>
      </c>
      <c r="F58" s="607">
        <f t="shared" si="4"/>
        <v>5.7098385289328775</v>
      </c>
    </row>
    <row r="59" spans="2:6" x14ac:dyDescent="0.25">
      <c r="C59" s="227">
        <f t="shared" si="2"/>
        <v>7</v>
      </c>
      <c r="D59" s="235">
        <f t="shared" si="1"/>
        <v>40</v>
      </c>
      <c r="E59" s="236">
        <f t="shared" si="3"/>
        <v>6.3746526471693317</v>
      </c>
      <c r="F59" s="65">
        <f t="shared" si="4"/>
        <v>12.084491176102208</v>
      </c>
    </row>
    <row r="60" spans="2:6" x14ac:dyDescent="0.25">
      <c r="C60" s="227">
        <f t="shared" si="2"/>
        <v>8</v>
      </c>
      <c r="D60" s="235">
        <f t="shared" si="1"/>
        <v>40</v>
      </c>
      <c r="E60" s="236">
        <f t="shared" si="3"/>
        <v>4.9035789593610248</v>
      </c>
      <c r="F60" s="65">
        <f t="shared" si="4"/>
        <v>16.988070135463232</v>
      </c>
    </row>
    <row r="61" spans="2:6" x14ac:dyDescent="0.25">
      <c r="C61" s="227">
        <f t="shared" si="2"/>
        <v>9</v>
      </c>
      <c r="D61" s="235">
        <f t="shared" si="1"/>
        <v>40</v>
      </c>
      <c r="E61" s="236">
        <f t="shared" si="3"/>
        <v>3.7719838148930962</v>
      </c>
      <c r="F61" s="65">
        <f t="shared" si="4"/>
        <v>20.76005395035633</v>
      </c>
    </row>
    <row r="62" spans="2:6" x14ac:dyDescent="0.25">
      <c r="C62" s="227">
        <f t="shared" si="2"/>
        <v>10</v>
      </c>
      <c r="D62" s="235">
        <f t="shared" si="1"/>
        <v>40</v>
      </c>
      <c r="E62" s="236">
        <f t="shared" si="3"/>
        <v>2.9015260114562276</v>
      </c>
      <c r="F62" s="65">
        <f t="shared" si="4"/>
        <v>23.661579961812556</v>
      </c>
    </row>
    <row r="63" spans="2:6" x14ac:dyDescent="0.25">
      <c r="C63" s="227">
        <f t="shared" si="2"/>
        <v>11</v>
      </c>
      <c r="D63" s="235">
        <f t="shared" si="1"/>
        <v>45</v>
      </c>
      <c r="E63" s="236">
        <f t="shared" si="3"/>
        <v>2.5109359714525046</v>
      </c>
      <c r="F63" s="65">
        <f t="shared" si="4"/>
        <v>26.172515933265061</v>
      </c>
    </row>
    <row r="64" spans="2:6" x14ac:dyDescent="0.25">
      <c r="C64" s="227">
        <f t="shared" si="2"/>
        <v>12</v>
      </c>
      <c r="D64" s="235">
        <f t="shared" si="1"/>
        <v>45</v>
      </c>
      <c r="E64" s="236">
        <f t="shared" si="3"/>
        <v>1.9314892088096187</v>
      </c>
      <c r="F64" s="65">
        <f t="shared" si="4"/>
        <v>28.10400514207468</v>
      </c>
    </row>
    <row r="65" spans="3:6" x14ac:dyDescent="0.25">
      <c r="C65" s="227">
        <f t="shared" si="2"/>
        <v>13</v>
      </c>
      <c r="D65" s="235">
        <f t="shared" si="1"/>
        <v>45</v>
      </c>
      <c r="E65" s="236">
        <f t="shared" si="3"/>
        <v>1.4857609298535528</v>
      </c>
      <c r="F65" s="65">
        <f t="shared" si="4"/>
        <v>29.589766071928231</v>
      </c>
    </row>
    <row r="66" spans="3:6" x14ac:dyDescent="0.25">
      <c r="C66" s="227">
        <f t="shared" si="2"/>
        <v>14</v>
      </c>
      <c r="D66" s="235">
        <f t="shared" si="1"/>
        <v>45</v>
      </c>
      <c r="E66" s="236">
        <f t="shared" si="3"/>
        <v>1.1428930229642713</v>
      </c>
      <c r="F66" s="65">
        <f t="shared" si="4"/>
        <v>30.732659094892504</v>
      </c>
    </row>
    <row r="67" spans="3:6" x14ac:dyDescent="0.25">
      <c r="C67" s="227">
        <f t="shared" si="2"/>
        <v>15</v>
      </c>
      <c r="D67" s="235">
        <f t="shared" si="1"/>
        <v>45</v>
      </c>
      <c r="E67" s="236">
        <f t="shared" si="3"/>
        <v>0.87914847920328554</v>
      </c>
      <c r="F67" s="65">
        <f t="shared" si="4"/>
        <v>31.611807574095788</v>
      </c>
    </row>
    <row r="68" spans="3:6" x14ac:dyDescent="0.25">
      <c r="C68" s="227">
        <f t="shared" si="2"/>
        <v>16</v>
      </c>
      <c r="D68" s="235">
        <f t="shared" si="1"/>
        <v>45</v>
      </c>
      <c r="E68" s="236">
        <f t="shared" si="3"/>
        <v>0.67626806092560432</v>
      </c>
      <c r="F68" s="65">
        <f t="shared" si="4"/>
        <v>32.288075635021393</v>
      </c>
    </row>
    <row r="69" spans="3:6" x14ac:dyDescent="0.25">
      <c r="C69" s="227">
        <f t="shared" si="2"/>
        <v>17</v>
      </c>
      <c r="D69" s="235">
        <f t="shared" si="1"/>
        <v>45</v>
      </c>
      <c r="E69" s="236">
        <f t="shared" si="3"/>
        <v>0.5202062007120033</v>
      </c>
      <c r="F69" s="65">
        <f t="shared" si="4"/>
        <v>32.808281835733396</v>
      </c>
    </row>
    <row r="70" spans="3:6" x14ac:dyDescent="0.25">
      <c r="C70" s="227">
        <f t="shared" si="2"/>
        <v>18</v>
      </c>
      <c r="D70" s="235">
        <f t="shared" si="1"/>
        <v>45</v>
      </c>
      <c r="E70" s="236">
        <f t="shared" si="3"/>
        <v>0.40015861593231017</v>
      </c>
      <c r="F70" s="65">
        <f t="shared" si="4"/>
        <v>33.208440451665709</v>
      </c>
    </row>
    <row r="71" spans="3:6" x14ac:dyDescent="0.25">
      <c r="C71" s="227">
        <f t="shared" si="2"/>
        <v>19</v>
      </c>
      <c r="D71" s="235">
        <f t="shared" si="1"/>
        <v>45</v>
      </c>
      <c r="E71" s="236">
        <f t="shared" si="3"/>
        <v>0.30781431994793085</v>
      </c>
      <c r="F71" s="65">
        <f t="shared" si="4"/>
        <v>33.516254771613639</v>
      </c>
    </row>
    <row r="72" spans="3:6" x14ac:dyDescent="0.25">
      <c r="C72" s="227">
        <f t="shared" si="2"/>
        <v>20</v>
      </c>
      <c r="D72" s="235">
        <f t="shared" si="1"/>
        <v>45</v>
      </c>
      <c r="E72" s="236">
        <f t="shared" si="3"/>
        <v>0.236780246113793</v>
      </c>
      <c r="F72" s="65">
        <f t="shared" si="4"/>
        <v>33.753035017727434</v>
      </c>
    </row>
    <row r="73" spans="3:6" x14ac:dyDescent="0.25">
      <c r="C73" s="227">
        <f t="shared" si="2"/>
        <v>21</v>
      </c>
      <c r="D73" s="235">
        <f t="shared" si="1"/>
        <v>50</v>
      </c>
      <c r="E73" s="236">
        <f t="shared" si="3"/>
        <v>0.2023762787297376</v>
      </c>
      <c r="F73" s="65">
        <f t="shared" si="4"/>
        <v>33.955411296457171</v>
      </c>
    </row>
    <row r="74" spans="3:6" x14ac:dyDescent="0.25">
      <c r="C74" s="227">
        <f t="shared" si="2"/>
        <v>22</v>
      </c>
      <c r="D74" s="235">
        <f t="shared" si="1"/>
        <v>50</v>
      </c>
      <c r="E74" s="236">
        <f t="shared" si="3"/>
        <v>0.15567406056133662</v>
      </c>
      <c r="F74" s="65">
        <f t="shared" si="4"/>
        <v>34.11108535701851</v>
      </c>
    </row>
    <row r="75" spans="3:6" x14ac:dyDescent="0.25">
      <c r="C75" s="227">
        <f t="shared" si="2"/>
        <v>23</v>
      </c>
      <c r="D75" s="235">
        <f t="shared" si="1"/>
        <v>50</v>
      </c>
      <c r="E75" s="236">
        <f t="shared" si="3"/>
        <v>0.1197492773548743</v>
      </c>
      <c r="F75" s="65">
        <f t="shared" si="4"/>
        <v>34.230834634373387</v>
      </c>
    </row>
    <row r="76" spans="3:6" x14ac:dyDescent="0.25">
      <c r="C76" s="227">
        <f t="shared" si="2"/>
        <v>24</v>
      </c>
      <c r="D76" s="235">
        <f t="shared" si="1"/>
        <v>50</v>
      </c>
      <c r="E76" s="236">
        <f t="shared" si="3"/>
        <v>9.2114828734518706E-2</v>
      </c>
      <c r="F76" s="65">
        <f t="shared" si="4"/>
        <v>34.322949463107904</v>
      </c>
    </row>
    <row r="77" spans="3:6" x14ac:dyDescent="0.25">
      <c r="C77" s="227">
        <f t="shared" si="2"/>
        <v>25</v>
      </c>
      <c r="D77" s="235">
        <f t="shared" si="1"/>
        <v>50</v>
      </c>
      <c r="E77" s="236">
        <f t="shared" si="3"/>
        <v>7.0857560565014382E-2</v>
      </c>
      <c r="F77" s="65">
        <f t="shared" si="4"/>
        <v>34.39380702367292</v>
      </c>
    </row>
    <row r="78" spans="3:6" x14ac:dyDescent="0.25">
      <c r="C78" s="227">
        <f t="shared" si="2"/>
        <v>26</v>
      </c>
      <c r="D78" s="235">
        <f t="shared" si="1"/>
        <v>50</v>
      </c>
      <c r="E78" s="236">
        <f t="shared" si="3"/>
        <v>5.4505815819241826E-2</v>
      </c>
      <c r="F78" s="65">
        <f t="shared" si="4"/>
        <v>34.448312839492161</v>
      </c>
    </row>
    <row r="79" spans="3:6" x14ac:dyDescent="0.25">
      <c r="C79" s="227">
        <f t="shared" si="2"/>
        <v>27</v>
      </c>
      <c r="D79" s="235">
        <f t="shared" si="1"/>
        <v>50</v>
      </c>
      <c r="E79" s="236">
        <f t="shared" si="3"/>
        <v>4.1927550630186015E-2</v>
      </c>
      <c r="F79" s="65">
        <f t="shared" si="4"/>
        <v>34.490240390122345</v>
      </c>
    </row>
    <row r="80" spans="3:6" x14ac:dyDescent="0.25">
      <c r="C80" s="227">
        <f t="shared" si="2"/>
        <v>28</v>
      </c>
      <c r="D80" s="235">
        <f t="shared" si="1"/>
        <v>50</v>
      </c>
      <c r="E80" s="236">
        <f t="shared" si="3"/>
        <v>3.2251962023220011E-2</v>
      </c>
      <c r="F80" s="65">
        <f t="shared" si="4"/>
        <v>34.522492352145562</v>
      </c>
    </row>
    <row r="81" spans="2:6" x14ac:dyDescent="0.25">
      <c r="C81" s="227">
        <f t="shared" si="2"/>
        <v>29</v>
      </c>
      <c r="D81" s="235">
        <f t="shared" si="1"/>
        <v>50</v>
      </c>
      <c r="E81" s="236">
        <f t="shared" si="3"/>
        <v>2.4809201556323084E-2</v>
      </c>
      <c r="F81" s="65">
        <f t="shared" si="4"/>
        <v>34.547301553701885</v>
      </c>
    </row>
    <row r="82" spans="2:6" x14ac:dyDescent="0.25">
      <c r="C82" s="228">
        <f t="shared" si="2"/>
        <v>30</v>
      </c>
      <c r="D82" s="237">
        <f t="shared" si="1"/>
        <v>50</v>
      </c>
      <c r="E82" s="238">
        <f t="shared" si="3"/>
        <v>1.9084001197171605E-2</v>
      </c>
      <c r="F82" s="65">
        <f t="shared" si="4"/>
        <v>34.566385554899057</v>
      </c>
    </row>
    <row r="83" spans="2:6" x14ac:dyDescent="0.25">
      <c r="C83" s="606" t="s">
        <v>15</v>
      </c>
      <c r="D83" s="605">
        <f>IRR(D52:D82)</f>
        <v>0.40174556230631175</v>
      </c>
      <c r="E83" s="239"/>
      <c r="F83" s="240"/>
    </row>
    <row r="84" spans="2:6" x14ac:dyDescent="0.25">
      <c r="C84" s="199"/>
      <c r="D84" s="205"/>
    </row>
    <row r="86" spans="2:6" x14ac:dyDescent="0.25">
      <c r="B86" s="200" t="s">
        <v>32</v>
      </c>
      <c r="C86" s="241" t="s">
        <v>335</v>
      </c>
    </row>
  </sheetData>
  <sheetProtection algorithmName="SHA-512" hashValue="RgvY4BsW++q5/HsoVZk7wwQWg8dd+Z2nqA23wIRchTTHPzczRSMaTb1wJrUKuOuATf/iW3GlAXaKZclMS8+GGw==" saltValue="5kMC71HZqJgMSTagnvKOmQ==" spinCount="100000" sheet="1" objects="1" scenarios="1"/>
  <mergeCells count="2">
    <mergeCell ref="C3:D3"/>
    <mergeCell ref="C1:F1"/>
  </mergeCells>
  <phoneticPr fontId="1" type="noConversion"/>
  <pageMargins left="0.7" right="0.7" top="0.75" bottom="0.75" header="0.3" footer="0.3"/>
  <pageSetup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3"/>
  <sheetViews>
    <sheetView topLeftCell="A43" zoomScaleNormal="100" workbookViewId="0">
      <selection activeCell="C51" sqref="C51"/>
    </sheetView>
  </sheetViews>
  <sheetFormatPr baseColWidth="10" defaultRowHeight="13.8" x14ac:dyDescent="0.25"/>
  <cols>
    <col min="1" max="1" width="23.6640625" style="47" customWidth="1"/>
    <col min="2" max="2" width="35.88671875" style="48" customWidth="1"/>
    <col min="3" max="3" width="8.88671875" style="47" customWidth="1"/>
    <col min="4" max="8" width="8.5546875" style="47" bestFit="1" customWidth="1"/>
    <col min="9" max="255" width="11.44140625" style="47"/>
    <col min="256" max="256" width="2.6640625" style="47" bestFit="1" customWidth="1"/>
    <col min="257" max="257" width="32" style="47" bestFit="1" customWidth="1"/>
    <col min="258" max="511" width="11.44140625" style="47"/>
    <col min="512" max="512" width="2.6640625" style="47" bestFit="1" customWidth="1"/>
    <col min="513" max="513" width="32" style="47" bestFit="1" customWidth="1"/>
    <col min="514" max="767" width="11.44140625" style="47"/>
    <col min="768" max="768" width="2.6640625" style="47" bestFit="1" customWidth="1"/>
    <col min="769" max="769" width="32" style="47" bestFit="1" customWidth="1"/>
    <col min="770" max="1023" width="11.44140625" style="47"/>
    <col min="1024" max="1024" width="2.6640625" style="47" bestFit="1" customWidth="1"/>
    <col min="1025" max="1025" width="32" style="47" bestFit="1" customWidth="1"/>
    <col min="1026" max="1279" width="11.44140625" style="47"/>
    <col min="1280" max="1280" width="2.6640625" style="47" bestFit="1" customWidth="1"/>
    <col min="1281" max="1281" width="32" style="47" bestFit="1" customWidth="1"/>
    <col min="1282" max="1535" width="11.44140625" style="47"/>
    <col min="1536" max="1536" width="2.6640625" style="47" bestFit="1" customWidth="1"/>
    <col min="1537" max="1537" width="32" style="47" bestFit="1" customWidth="1"/>
    <col min="1538" max="1791" width="11.44140625" style="47"/>
    <col min="1792" max="1792" width="2.6640625" style="47" bestFit="1" customWidth="1"/>
    <col min="1793" max="1793" width="32" style="47" bestFit="1" customWidth="1"/>
    <col min="1794" max="2047" width="11.44140625" style="47"/>
    <col min="2048" max="2048" width="2.6640625" style="47" bestFit="1" customWidth="1"/>
    <col min="2049" max="2049" width="32" style="47" bestFit="1" customWidth="1"/>
    <col min="2050" max="2303" width="11.44140625" style="47"/>
    <col min="2304" max="2304" width="2.6640625" style="47" bestFit="1" customWidth="1"/>
    <col min="2305" max="2305" width="32" style="47" bestFit="1" customWidth="1"/>
    <col min="2306" max="2559" width="11.44140625" style="47"/>
    <col min="2560" max="2560" width="2.6640625" style="47" bestFit="1" customWidth="1"/>
    <col min="2561" max="2561" width="32" style="47" bestFit="1" customWidth="1"/>
    <col min="2562" max="2815" width="11.44140625" style="47"/>
    <col min="2816" max="2816" width="2.6640625" style="47" bestFit="1" customWidth="1"/>
    <col min="2817" max="2817" width="32" style="47" bestFit="1" customWidth="1"/>
    <col min="2818" max="3071" width="11.44140625" style="47"/>
    <col min="3072" max="3072" width="2.6640625" style="47" bestFit="1" customWidth="1"/>
    <col min="3073" max="3073" width="32" style="47" bestFit="1" customWidth="1"/>
    <col min="3074" max="3327" width="11.44140625" style="47"/>
    <col min="3328" max="3328" width="2.6640625" style="47" bestFit="1" customWidth="1"/>
    <col min="3329" max="3329" width="32" style="47" bestFit="1" customWidth="1"/>
    <col min="3330" max="3583" width="11.44140625" style="47"/>
    <col min="3584" max="3584" width="2.6640625" style="47" bestFit="1" customWidth="1"/>
    <col min="3585" max="3585" width="32" style="47" bestFit="1" customWidth="1"/>
    <col min="3586" max="3839" width="11.44140625" style="47"/>
    <col min="3840" max="3840" width="2.6640625" style="47" bestFit="1" customWidth="1"/>
    <col min="3841" max="3841" width="32" style="47" bestFit="1" customWidth="1"/>
    <col min="3842" max="4095" width="11.44140625" style="47"/>
    <col min="4096" max="4096" width="2.6640625" style="47" bestFit="1" customWidth="1"/>
    <col min="4097" max="4097" width="32" style="47" bestFit="1" customWidth="1"/>
    <col min="4098" max="4351" width="11.44140625" style="47"/>
    <col min="4352" max="4352" width="2.6640625" style="47" bestFit="1" customWidth="1"/>
    <col min="4353" max="4353" width="32" style="47" bestFit="1" customWidth="1"/>
    <col min="4354" max="4607" width="11.44140625" style="47"/>
    <col min="4608" max="4608" width="2.6640625" style="47" bestFit="1" customWidth="1"/>
    <col min="4609" max="4609" width="32" style="47" bestFit="1" customWidth="1"/>
    <col min="4610" max="4863" width="11.44140625" style="47"/>
    <col min="4864" max="4864" width="2.6640625" style="47" bestFit="1" customWidth="1"/>
    <col min="4865" max="4865" width="32" style="47" bestFit="1" customWidth="1"/>
    <col min="4866" max="5119" width="11.44140625" style="47"/>
    <col min="5120" max="5120" width="2.6640625" style="47" bestFit="1" customWidth="1"/>
    <col min="5121" max="5121" width="32" style="47" bestFit="1" customWidth="1"/>
    <col min="5122" max="5375" width="11.44140625" style="47"/>
    <col min="5376" max="5376" width="2.6640625" style="47" bestFit="1" customWidth="1"/>
    <col min="5377" max="5377" width="32" style="47" bestFit="1" customWidth="1"/>
    <col min="5378" max="5631" width="11.44140625" style="47"/>
    <col min="5632" max="5632" width="2.6640625" style="47" bestFit="1" customWidth="1"/>
    <col min="5633" max="5633" width="32" style="47" bestFit="1" customWidth="1"/>
    <col min="5634" max="5887" width="11.44140625" style="47"/>
    <col min="5888" max="5888" width="2.6640625" style="47" bestFit="1" customWidth="1"/>
    <col min="5889" max="5889" width="32" style="47" bestFit="1" customWidth="1"/>
    <col min="5890" max="6143" width="11.44140625" style="47"/>
    <col min="6144" max="6144" width="2.6640625" style="47" bestFit="1" customWidth="1"/>
    <col min="6145" max="6145" width="32" style="47" bestFit="1" customWidth="1"/>
    <col min="6146" max="6399" width="11.44140625" style="47"/>
    <col min="6400" max="6400" width="2.6640625" style="47" bestFit="1" customWidth="1"/>
    <col min="6401" max="6401" width="32" style="47" bestFit="1" customWidth="1"/>
    <col min="6402" max="6655" width="11.44140625" style="47"/>
    <col min="6656" max="6656" width="2.6640625" style="47" bestFit="1" customWidth="1"/>
    <col min="6657" max="6657" width="32" style="47" bestFit="1" customWidth="1"/>
    <col min="6658" max="6911" width="11.44140625" style="47"/>
    <col min="6912" max="6912" width="2.6640625" style="47" bestFit="1" customWidth="1"/>
    <col min="6913" max="6913" width="32" style="47" bestFit="1" customWidth="1"/>
    <col min="6914" max="7167" width="11.44140625" style="47"/>
    <col min="7168" max="7168" width="2.6640625" style="47" bestFit="1" customWidth="1"/>
    <col min="7169" max="7169" width="32" style="47" bestFit="1" customWidth="1"/>
    <col min="7170" max="7423" width="11.44140625" style="47"/>
    <col min="7424" max="7424" width="2.6640625" style="47" bestFit="1" customWidth="1"/>
    <col min="7425" max="7425" width="32" style="47" bestFit="1" customWidth="1"/>
    <col min="7426" max="7679" width="11.44140625" style="47"/>
    <col min="7680" max="7680" width="2.6640625" style="47" bestFit="1" customWidth="1"/>
    <col min="7681" max="7681" width="32" style="47" bestFit="1" customWidth="1"/>
    <col min="7682" max="7935" width="11.44140625" style="47"/>
    <col min="7936" max="7936" width="2.6640625" style="47" bestFit="1" customWidth="1"/>
    <col min="7937" max="7937" width="32" style="47" bestFit="1" customWidth="1"/>
    <col min="7938" max="8191" width="11.44140625" style="47"/>
    <col min="8192" max="8192" width="2.6640625" style="47" bestFit="1" customWidth="1"/>
    <col min="8193" max="8193" width="32" style="47" bestFit="1" customWidth="1"/>
    <col min="8194" max="8447" width="11.44140625" style="47"/>
    <col min="8448" max="8448" width="2.6640625" style="47" bestFit="1" customWidth="1"/>
    <col min="8449" max="8449" width="32" style="47" bestFit="1" customWidth="1"/>
    <col min="8450" max="8703" width="11.44140625" style="47"/>
    <col min="8704" max="8704" width="2.6640625" style="47" bestFit="1" customWidth="1"/>
    <col min="8705" max="8705" width="32" style="47" bestFit="1" customWidth="1"/>
    <col min="8706" max="8959" width="11.44140625" style="47"/>
    <col min="8960" max="8960" width="2.6640625" style="47" bestFit="1" customWidth="1"/>
    <col min="8961" max="8961" width="32" style="47" bestFit="1" customWidth="1"/>
    <col min="8962" max="9215" width="11.44140625" style="47"/>
    <col min="9216" max="9216" width="2.6640625" style="47" bestFit="1" customWidth="1"/>
    <col min="9217" max="9217" width="32" style="47" bestFit="1" customWidth="1"/>
    <col min="9218" max="9471" width="11.44140625" style="47"/>
    <col min="9472" max="9472" width="2.6640625" style="47" bestFit="1" customWidth="1"/>
    <col min="9473" max="9473" width="32" style="47" bestFit="1" customWidth="1"/>
    <col min="9474" max="9727" width="11.44140625" style="47"/>
    <col min="9728" max="9728" width="2.6640625" style="47" bestFit="1" customWidth="1"/>
    <col min="9729" max="9729" width="32" style="47" bestFit="1" customWidth="1"/>
    <col min="9730" max="9983" width="11.44140625" style="47"/>
    <col min="9984" max="9984" width="2.6640625" style="47" bestFit="1" customWidth="1"/>
    <col min="9985" max="9985" width="32" style="47" bestFit="1" customWidth="1"/>
    <col min="9986" max="10239" width="11.44140625" style="47"/>
    <col min="10240" max="10240" width="2.6640625" style="47" bestFit="1" customWidth="1"/>
    <col min="10241" max="10241" width="32" style="47" bestFit="1" customWidth="1"/>
    <col min="10242" max="10495" width="11.44140625" style="47"/>
    <col min="10496" max="10496" width="2.6640625" style="47" bestFit="1" customWidth="1"/>
    <col min="10497" max="10497" width="32" style="47" bestFit="1" customWidth="1"/>
    <col min="10498" max="10751" width="11.44140625" style="47"/>
    <col min="10752" max="10752" width="2.6640625" style="47" bestFit="1" customWidth="1"/>
    <col min="10753" max="10753" width="32" style="47" bestFit="1" customWidth="1"/>
    <col min="10754" max="11007" width="11.44140625" style="47"/>
    <col min="11008" max="11008" width="2.6640625" style="47" bestFit="1" customWidth="1"/>
    <col min="11009" max="11009" width="32" style="47" bestFit="1" customWidth="1"/>
    <col min="11010" max="11263" width="11.44140625" style="47"/>
    <col min="11264" max="11264" width="2.6640625" style="47" bestFit="1" customWidth="1"/>
    <col min="11265" max="11265" width="32" style="47" bestFit="1" customWidth="1"/>
    <col min="11266" max="11519" width="11.44140625" style="47"/>
    <col min="11520" max="11520" width="2.6640625" style="47" bestFit="1" customWidth="1"/>
    <col min="11521" max="11521" width="32" style="47" bestFit="1" customWidth="1"/>
    <col min="11522" max="11775" width="11.44140625" style="47"/>
    <col min="11776" max="11776" width="2.6640625" style="47" bestFit="1" customWidth="1"/>
    <col min="11777" max="11777" width="32" style="47" bestFit="1" customWidth="1"/>
    <col min="11778" max="12031" width="11.44140625" style="47"/>
    <col min="12032" max="12032" width="2.6640625" style="47" bestFit="1" customWidth="1"/>
    <col min="12033" max="12033" width="32" style="47" bestFit="1" customWidth="1"/>
    <col min="12034" max="12287" width="11.44140625" style="47"/>
    <col min="12288" max="12288" width="2.6640625" style="47" bestFit="1" customWidth="1"/>
    <col min="12289" max="12289" width="32" style="47" bestFit="1" customWidth="1"/>
    <col min="12290" max="12543" width="11.44140625" style="47"/>
    <col min="12544" max="12544" width="2.6640625" style="47" bestFit="1" customWidth="1"/>
    <col min="12545" max="12545" width="32" style="47" bestFit="1" customWidth="1"/>
    <col min="12546" max="12799" width="11.44140625" style="47"/>
    <col min="12800" max="12800" width="2.6640625" style="47" bestFit="1" customWidth="1"/>
    <col min="12801" max="12801" width="32" style="47" bestFit="1" customWidth="1"/>
    <col min="12802" max="13055" width="11.44140625" style="47"/>
    <col min="13056" max="13056" width="2.6640625" style="47" bestFit="1" customWidth="1"/>
    <col min="13057" max="13057" width="32" style="47" bestFit="1" customWidth="1"/>
    <col min="13058" max="13311" width="11.44140625" style="47"/>
    <col min="13312" max="13312" width="2.6640625" style="47" bestFit="1" customWidth="1"/>
    <col min="13313" max="13313" width="32" style="47" bestFit="1" customWidth="1"/>
    <col min="13314" max="13567" width="11.44140625" style="47"/>
    <col min="13568" max="13568" width="2.6640625" style="47" bestFit="1" customWidth="1"/>
    <col min="13569" max="13569" width="32" style="47" bestFit="1" customWidth="1"/>
    <col min="13570" max="13823" width="11.44140625" style="47"/>
    <col min="13824" max="13824" width="2.6640625" style="47" bestFit="1" customWidth="1"/>
    <col min="13825" max="13825" width="32" style="47" bestFit="1" customWidth="1"/>
    <col min="13826" max="14079" width="11.44140625" style="47"/>
    <col min="14080" max="14080" width="2.6640625" style="47" bestFit="1" customWidth="1"/>
    <col min="14081" max="14081" width="32" style="47" bestFit="1" customWidth="1"/>
    <col min="14082" max="14335" width="11.44140625" style="47"/>
    <col min="14336" max="14336" width="2.6640625" style="47" bestFit="1" customWidth="1"/>
    <col min="14337" max="14337" width="32" style="47" bestFit="1" customWidth="1"/>
    <col min="14338" max="14591" width="11.44140625" style="47"/>
    <col min="14592" max="14592" width="2.6640625" style="47" bestFit="1" customWidth="1"/>
    <col min="14593" max="14593" width="32" style="47" bestFit="1" customWidth="1"/>
    <col min="14594" max="14847" width="11.44140625" style="47"/>
    <col min="14848" max="14848" width="2.6640625" style="47" bestFit="1" customWidth="1"/>
    <col min="14849" max="14849" width="32" style="47" bestFit="1" customWidth="1"/>
    <col min="14850" max="15103" width="11.44140625" style="47"/>
    <col min="15104" max="15104" width="2.6640625" style="47" bestFit="1" customWidth="1"/>
    <col min="15105" max="15105" width="32" style="47" bestFit="1" customWidth="1"/>
    <col min="15106" max="15359" width="11.44140625" style="47"/>
    <col min="15360" max="15360" width="2.6640625" style="47" bestFit="1" customWidth="1"/>
    <col min="15361" max="15361" width="32" style="47" bestFit="1" customWidth="1"/>
    <col min="15362" max="15615" width="11.44140625" style="47"/>
    <col min="15616" max="15616" width="2.6640625" style="47" bestFit="1" customWidth="1"/>
    <col min="15617" max="15617" width="32" style="47" bestFit="1" customWidth="1"/>
    <col min="15618" max="15871" width="11.44140625" style="47"/>
    <col min="15872" max="15872" width="2.6640625" style="47" bestFit="1" customWidth="1"/>
    <col min="15873" max="15873" width="32" style="47" bestFit="1" customWidth="1"/>
    <col min="15874" max="16127" width="11.44140625" style="47"/>
    <col min="16128" max="16128" width="2.6640625" style="47" bestFit="1" customWidth="1"/>
    <col min="16129" max="16129" width="32" style="47" bestFit="1" customWidth="1"/>
    <col min="16130" max="16384" width="11.44140625" style="47"/>
  </cols>
  <sheetData>
    <row r="1" spans="2:11" ht="19.95" customHeight="1" x14ac:dyDescent="0.25">
      <c r="B1" s="619" t="s">
        <v>407</v>
      </c>
      <c r="C1" s="619"/>
      <c r="D1" s="619"/>
      <c r="E1" s="619"/>
      <c r="F1" s="619"/>
      <c r="G1" s="619"/>
      <c r="H1" s="619"/>
      <c r="I1" s="46"/>
      <c r="J1" s="46"/>
      <c r="K1" s="46"/>
    </row>
    <row r="3" spans="2:11" ht="14.4" customHeight="1" x14ac:dyDescent="0.25">
      <c r="B3" s="622" t="s">
        <v>184</v>
      </c>
      <c r="C3" s="623"/>
      <c r="D3" s="623"/>
      <c r="E3" s="623"/>
      <c r="F3" s="623"/>
      <c r="G3" s="623"/>
      <c r="H3" s="624"/>
    </row>
    <row r="4" spans="2:11" x14ac:dyDescent="0.25">
      <c r="B4" s="625"/>
      <c r="C4" s="626"/>
      <c r="D4" s="626"/>
      <c r="E4" s="626"/>
      <c r="F4" s="626"/>
      <c r="G4" s="626"/>
      <c r="H4" s="627"/>
    </row>
    <row r="5" spans="2:11" x14ac:dyDescent="0.25">
      <c r="B5" s="61"/>
      <c r="C5" s="62" t="s">
        <v>23</v>
      </c>
      <c r="D5" s="62" t="s">
        <v>0</v>
      </c>
      <c r="E5" s="62" t="s">
        <v>1</v>
      </c>
      <c r="F5" s="62" t="s">
        <v>2</v>
      </c>
      <c r="G5" s="62" t="s">
        <v>3</v>
      </c>
      <c r="H5" s="63" t="s">
        <v>38</v>
      </c>
    </row>
    <row r="6" spans="2:11" x14ac:dyDescent="0.25">
      <c r="B6" s="55" t="s">
        <v>24</v>
      </c>
      <c r="C6" s="49"/>
      <c r="D6" s="49">
        <v>1000</v>
      </c>
      <c r="E6" s="49">
        <v>1300</v>
      </c>
      <c r="F6" s="49">
        <v>1550</v>
      </c>
      <c r="G6" s="49">
        <v>1700</v>
      </c>
      <c r="H6" s="56">
        <v>1700</v>
      </c>
    </row>
    <row r="7" spans="2:11" x14ac:dyDescent="0.25">
      <c r="B7" s="55" t="s">
        <v>241</v>
      </c>
      <c r="C7" s="49"/>
      <c r="D7" s="620">
        <v>0.25</v>
      </c>
      <c r="E7" s="620"/>
      <c r="F7" s="620"/>
      <c r="G7" s="620"/>
      <c r="H7" s="621"/>
    </row>
    <row r="8" spans="2:11" x14ac:dyDescent="0.25">
      <c r="B8" s="55" t="s">
        <v>44</v>
      </c>
      <c r="C8" s="49"/>
      <c r="D8" s="628">
        <v>500</v>
      </c>
      <c r="E8" s="628"/>
      <c r="F8" s="628"/>
      <c r="G8" s="628"/>
      <c r="H8" s="629"/>
    </row>
    <row r="9" spans="2:11" x14ac:dyDescent="0.25">
      <c r="B9" s="55" t="s">
        <v>242</v>
      </c>
      <c r="C9" s="49"/>
      <c r="D9" s="620">
        <v>0.1</v>
      </c>
      <c r="E9" s="620"/>
      <c r="F9" s="620"/>
      <c r="G9" s="620"/>
      <c r="H9" s="621"/>
    </row>
    <row r="10" spans="2:11" x14ac:dyDescent="0.25">
      <c r="B10" s="55" t="s">
        <v>6</v>
      </c>
      <c r="C10" s="49"/>
      <c r="D10" s="620">
        <v>0.2</v>
      </c>
      <c r="E10" s="620"/>
      <c r="F10" s="620"/>
      <c r="G10" s="620"/>
      <c r="H10" s="621"/>
    </row>
    <row r="11" spans="2:11" x14ac:dyDescent="0.25">
      <c r="B11" s="55" t="s">
        <v>169</v>
      </c>
      <c r="C11" s="49"/>
      <c r="D11" s="49"/>
      <c r="E11" s="49"/>
      <c r="F11" s="49"/>
      <c r="G11" s="49"/>
      <c r="H11" s="57">
        <v>0.2</v>
      </c>
    </row>
    <row r="12" spans="2:11" x14ac:dyDescent="0.25">
      <c r="B12" s="55" t="s">
        <v>170</v>
      </c>
      <c r="C12" s="49">
        <v>700</v>
      </c>
      <c r="D12" s="49"/>
      <c r="E12" s="49"/>
      <c r="F12" s="49"/>
      <c r="G12" s="49"/>
      <c r="H12" s="56"/>
    </row>
    <row r="13" spans="2:11" x14ac:dyDescent="0.25">
      <c r="B13" s="55" t="s">
        <v>171</v>
      </c>
      <c r="C13" s="51">
        <v>0.1</v>
      </c>
      <c r="D13" s="49" t="s">
        <v>172</v>
      </c>
      <c r="E13" s="49"/>
      <c r="F13" s="49"/>
      <c r="G13" s="49"/>
      <c r="H13" s="56"/>
    </row>
    <row r="14" spans="2:11" x14ac:dyDescent="0.25">
      <c r="B14" s="55" t="s">
        <v>189</v>
      </c>
      <c r="C14" s="49">
        <v>1.65</v>
      </c>
      <c r="D14" s="49"/>
      <c r="E14" s="49"/>
      <c r="F14" s="49"/>
      <c r="G14" s="49"/>
      <c r="H14" s="56"/>
    </row>
    <row r="15" spans="2:11" x14ac:dyDescent="0.25">
      <c r="B15" s="55" t="s">
        <v>152</v>
      </c>
      <c r="C15" s="51">
        <v>0.09</v>
      </c>
      <c r="D15" s="49"/>
      <c r="E15" s="49"/>
      <c r="F15" s="49"/>
      <c r="G15" s="49"/>
      <c r="H15" s="56"/>
    </row>
    <row r="16" spans="2:11" x14ac:dyDescent="0.25">
      <c r="B16" s="55" t="s">
        <v>175</v>
      </c>
      <c r="C16" s="51">
        <v>0.3</v>
      </c>
      <c r="D16" s="49"/>
      <c r="E16" s="49"/>
      <c r="F16" s="49"/>
      <c r="G16" s="49"/>
      <c r="H16" s="56"/>
    </row>
    <row r="17" spans="1:8" ht="16.2" x14ac:dyDescent="0.35">
      <c r="B17" s="8" t="s">
        <v>402</v>
      </c>
      <c r="C17" s="51">
        <v>0.04</v>
      </c>
      <c r="D17" s="49"/>
      <c r="E17" s="49"/>
      <c r="F17" s="49"/>
      <c r="G17" s="49"/>
      <c r="H17" s="56"/>
    </row>
    <row r="18" spans="1:8" ht="16.2" x14ac:dyDescent="0.35">
      <c r="B18" s="8" t="s">
        <v>403</v>
      </c>
      <c r="C18" s="51">
        <f>14%-4%</f>
        <v>0.1</v>
      </c>
      <c r="D18" s="49"/>
      <c r="E18" s="49"/>
      <c r="F18" s="49"/>
      <c r="G18" s="49"/>
      <c r="H18" s="56"/>
    </row>
    <row r="19" spans="1:8" x14ac:dyDescent="0.25">
      <c r="B19" s="8"/>
      <c r="C19" s="49">
        <v>1.5</v>
      </c>
      <c r="D19" s="49"/>
      <c r="E19" s="49"/>
      <c r="F19" s="49"/>
      <c r="G19" s="49"/>
      <c r="H19" s="56"/>
    </row>
    <row r="20" spans="1:8" x14ac:dyDescent="0.25">
      <c r="B20" s="55" t="s">
        <v>174</v>
      </c>
      <c r="C20" s="52">
        <v>0.33333333333333331</v>
      </c>
      <c r="D20" s="49"/>
      <c r="E20" s="49"/>
      <c r="F20" s="49"/>
      <c r="G20" s="49"/>
      <c r="H20" s="56"/>
    </row>
    <row r="21" spans="1:8" x14ac:dyDescent="0.25">
      <c r="B21" s="58"/>
      <c r="C21" s="59"/>
      <c r="D21" s="59"/>
      <c r="E21" s="59"/>
      <c r="F21" s="59"/>
      <c r="G21" s="59"/>
      <c r="H21" s="60"/>
    </row>
    <row r="23" spans="1:8" x14ac:dyDescent="0.25">
      <c r="A23" s="53" t="s">
        <v>30</v>
      </c>
      <c r="B23" s="70" t="s">
        <v>168</v>
      </c>
      <c r="C23" s="71" t="s">
        <v>23</v>
      </c>
      <c r="D23" s="71" t="s">
        <v>0</v>
      </c>
      <c r="E23" s="71" t="s">
        <v>1</v>
      </c>
      <c r="F23" s="71" t="s">
        <v>2</v>
      </c>
      <c r="G23" s="71" t="s">
        <v>3</v>
      </c>
      <c r="H23" s="72" t="s">
        <v>38</v>
      </c>
    </row>
    <row r="24" spans="1:8" x14ac:dyDescent="0.25">
      <c r="B24" s="55" t="s">
        <v>24</v>
      </c>
      <c r="C24" s="64"/>
      <c r="D24" s="64">
        <f>+D6</f>
        <v>1000</v>
      </c>
      <c r="E24" s="64">
        <f t="shared" ref="E24:H24" si="0">+E6</f>
        <v>1300</v>
      </c>
      <c r="F24" s="64">
        <f t="shared" si="0"/>
        <v>1550</v>
      </c>
      <c r="G24" s="64">
        <f t="shared" si="0"/>
        <v>1700</v>
      </c>
      <c r="H24" s="65">
        <f t="shared" si="0"/>
        <v>1700</v>
      </c>
    </row>
    <row r="25" spans="1:8" x14ac:dyDescent="0.25">
      <c r="B25" s="55" t="s">
        <v>178</v>
      </c>
      <c r="C25" s="64"/>
      <c r="D25" s="64"/>
      <c r="E25" s="64"/>
      <c r="F25" s="64"/>
      <c r="G25" s="64"/>
      <c r="H25" s="65">
        <f>+H11*C12</f>
        <v>140</v>
      </c>
    </row>
    <row r="26" spans="1:8" x14ac:dyDescent="0.25">
      <c r="B26" s="55" t="s">
        <v>151</v>
      </c>
      <c r="C26" s="64"/>
      <c r="D26" s="64">
        <f>-D6*$D$7</f>
        <v>-250</v>
      </c>
      <c r="E26" s="64">
        <f t="shared" ref="E26:H26" si="1">-E6*$D$7</f>
        <v>-325</v>
      </c>
      <c r="F26" s="64">
        <f t="shared" si="1"/>
        <v>-387.5</v>
      </c>
      <c r="G26" s="64">
        <f t="shared" si="1"/>
        <v>-425</v>
      </c>
      <c r="H26" s="65">
        <f t="shared" si="1"/>
        <v>-425</v>
      </c>
    </row>
    <row r="27" spans="1:8" x14ac:dyDescent="0.25">
      <c r="B27" s="55" t="s">
        <v>176</v>
      </c>
      <c r="C27" s="64"/>
      <c r="D27" s="64">
        <f>-$D$8</f>
        <v>-500</v>
      </c>
      <c r="E27" s="64">
        <f t="shared" ref="E27:H27" si="2">-$D$8</f>
        <v>-500</v>
      </c>
      <c r="F27" s="64">
        <f t="shared" si="2"/>
        <v>-500</v>
      </c>
      <c r="G27" s="64">
        <f t="shared" si="2"/>
        <v>-500</v>
      </c>
      <c r="H27" s="65">
        <f t="shared" si="2"/>
        <v>-500</v>
      </c>
    </row>
    <row r="28" spans="1:8" x14ac:dyDescent="0.25">
      <c r="B28" s="55" t="s">
        <v>177</v>
      </c>
      <c r="C28" s="64"/>
      <c r="D28" s="64">
        <f>-$D$9*D6</f>
        <v>-100</v>
      </c>
      <c r="E28" s="64">
        <f t="shared" ref="E28:H28" si="3">-$D$9*E6</f>
        <v>-130</v>
      </c>
      <c r="F28" s="64">
        <f t="shared" si="3"/>
        <v>-155</v>
      </c>
      <c r="G28" s="64">
        <f t="shared" si="3"/>
        <v>-170</v>
      </c>
      <c r="H28" s="65">
        <f t="shared" si="3"/>
        <v>-170</v>
      </c>
    </row>
    <row r="29" spans="1:8" x14ac:dyDescent="0.25">
      <c r="B29" s="55" t="s">
        <v>6</v>
      </c>
      <c r="C29" s="64"/>
      <c r="D29" s="64">
        <f>-$C$12*$D$10</f>
        <v>-140</v>
      </c>
      <c r="E29" s="64">
        <f t="shared" ref="E29:H29" si="4">-$C$12*$D$10</f>
        <v>-140</v>
      </c>
      <c r="F29" s="64">
        <f t="shared" si="4"/>
        <v>-140</v>
      </c>
      <c r="G29" s="64">
        <f t="shared" si="4"/>
        <v>-140</v>
      </c>
      <c r="H29" s="65">
        <f t="shared" si="4"/>
        <v>-140</v>
      </c>
    </row>
    <row r="30" spans="1:8" x14ac:dyDescent="0.25">
      <c r="B30" s="55" t="s">
        <v>153</v>
      </c>
      <c r="C30" s="64"/>
      <c r="D30" s="64">
        <f>-SUM(D24:D29)*$C$16</f>
        <v>-3</v>
      </c>
      <c r="E30" s="64">
        <f t="shared" ref="E30:H30" si="5">-SUM(E24:E29)*$C$16</f>
        <v>-61.5</v>
      </c>
      <c r="F30" s="64">
        <f t="shared" si="5"/>
        <v>-110.25</v>
      </c>
      <c r="G30" s="64">
        <f t="shared" si="5"/>
        <v>-139.5</v>
      </c>
      <c r="H30" s="65">
        <f t="shared" si="5"/>
        <v>-181.5</v>
      </c>
    </row>
    <row r="31" spans="1:8" x14ac:dyDescent="0.25">
      <c r="B31" s="67" t="s">
        <v>26</v>
      </c>
      <c r="C31" s="68"/>
      <c r="D31" s="68">
        <f>SUM(D24:D30)</f>
        <v>7</v>
      </c>
      <c r="E31" s="68">
        <f t="shared" ref="E31:H31" si="6">SUM(E24:E30)</f>
        <v>143.5</v>
      </c>
      <c r="F31" s="68">
        <f t="shared" si="6"/>
        <v>257.25</v>
      </c>
      <c r="G31" s="68">
        <f t="shared" si="6"/>
        <v>325.5</v>
      </c>
      <c r="H31" s="69">
        <f t="shared" si="6"/>
        <v>423.5</v>
      </c>
    </row>
    <row r="32" spans="1:8" x14ac:dyDescent="0.25">
      <c r="C32" s="53"/>
      <c r="D32" s="53"/>
      <c r="E32" s="53"/>
      <c r="F32" s="53"/>
      <c r="G32" s="53"/>
      <c r="H32" s="53"/>
    </row>
    <row r="33" spans="1:8" x14ac:dyDescent="0.25">
      <c r="B33" s="70" t="s">
        <v>157</v>
      </c>
      <c r="C33" s="71" t="s">
        <v>23</v>
      </c>
      <c r="D33" s="71" t="s">
        <v>0</v>
      </c>
      <c r="E33" s="71" t="s">
        <v>1</v>
      </c>
      <c r="F33" s="71" t="s">
        <v>2</v>
      </c>
      <c r="G33" s="71" t="s">
        <v>3</v>
      </c>
      <c r="H33" s="72" t="s">
        <v>38</v>
      </c>
    </row>
    <row r="34" spans="1:8" x14ac:dyDescent="0.25">
      <c r="B34" s="55" t="s">
        <v>9</v>
      </c>
      <c r="C34" s="64"/>
      <c r="D34" s="64">
        <f>+D31</f>
        <v>7</v>
      </c>
      <c r="E34" s="64">
        <f t="shared" ref="E34:H34" si="7">+E31</f>
        <v>143.5</v>
      </c>
      <c r="F34" s="64">
        <f t="shared" si="7"/>
        <v>257.25</v>
      </c>
      <c r="G34" s="64">
        <f t="shared" si="7"/>
        <v>325.5</v>
      </c>
      <c r="H34" s="65">
        <f t="shared" si="7"/>
        <v>423.5</v>
      </c>
    </row>
    <row r="35" spans="1:8" x14ac:dyDescent="0.25">
      <c r="B35" s="55" t="s">
        <v>179</v>
      </c>
      <c r="C35" s="64"/>
      <c r="D35" s="64">
        <f>-D29</f>
        <v>140</v>
      </c>
      <c r="E35" s="64">
        <f t="shared" ref="E35:H35" si="8">-E29</f>
        <v>140</v>
      </c>
      <c r="F35" s="64">
        <f t="shared" si="8"/>
        <v>140</v>
      </c>
      <c r="G35" s="64">
        <f t="shared" si="8"/>
        <v>140</v>
      </c>
      <c r="H35" s="65">
        <f t="shared" si="8"/>
        <v>140</v>
      </c>
    </row>
    <row r="36" spans="1:8" x14ac:dyDescent="0.25">
      <c r="B36" s="55" t="s">
        <v>180</v>
      </c>
      <c r="C36" s="64"/>
      <c r="D36" s="64"/>
      <c r="E36" s="64"/>
      <c r="F36" s="64"/>
      <c r="G36" s="64"/>
      <c r="H36" s="65">
        <v>0</v>
      </c>
    </row>
    <row r="37" spans="1:8" x14ac:dyDescent="0.25">
      <c r="B37" s="55" t="s">
        <v>96</v>
      </c>
      <c r="C37" s="64"/>
      <c r="D37" s="64"/>
      <c r="E37" s="64"/>
      <c r="F37" s="64"/>
      <c r="G37" s="64"/>
      <c r="H37" s="65">
        <f>-SUM(C40:G40)</f>
        <v>170</v>
      </c>
    </row>
    <row r="38" spans="1:8" x14ac:dyDescent="0.25">
      <c r="B38" s="55" t="s">
        <v>27</v>
      </c>
      <c r="C38" s="64">
        <f>SUM(C39:C40)</f>
        <v>-800</v>
      </c>
      <c r="D38" s="64">
        <f t="shared" ref="D38:H38" si="9">SUM(D39:D40)</f>
        <v>-30</v>
      </c>
      <c r="E38" s="64">
        <f t="shared" si="9"/>
        <v>-25</v>
      </c>
      <c r="F38" s="64">
        <f t="shared" si="9"/>
        <v>-15</v>
      </c>
      <c r="G38" s="64">
        <f t="shared" si="9"/>
        <v>0</v>
      </c>
      <c r="H38" s="65">
        <f t="shared" si="9"/>
        <v>0</v>
      </c>
    </row>
    <row r="39" spans="1:8" x14ac:dyDescent="0.25">
      <c r="B39" s="55" t="s">
        <v>181</v>
      </c>
      <c r="C39" s="64">
        <f>-C12</f>
        <v>-700</v>
      </c>
      <c r="D39" s="64"/>
      <c r="E39" s="64"/>
      <c r="F39" s="64"/>
      <c r="G39" s="64"/>
      <c r="H39" s="65"/>
    </row>
    <row r="40" spans="1:8" x14ac:dyDescent="0.25">
      <c r="B40" s="55" t="s">
        <v>29</v>
      </c>
      <c r="C40" s="64">
        <f>-(D24-C24)*$C$13</f>
        <v>-100</v>
      </c>
      <c r="D40" s="64">
        <f>-(E24-D24)*$C$13</f>
        <v>-30</v>
      </c>
      <c r="E40" s="64">
        <f t="shared" ref="E40:F40" si="10">-(F24-E24)*$C$13</f>
        <v>-25</v>
      </c>
      <c r="F40" s="64">
        <f t="shared" si="10"/>
        <v>-15</v>
      </c>
      <c r="G40" s="64"/>
      <c r="H40" s="65"/>
    </row>
    <row r="41" spans="1:8" x14ac:dyDescent="0.25">
      <c r="B41" s="67" t="s">
        <v>98</v>
      </c>
      <c r="C41" s="68">
        <f>SUM(C34:C38)</f>
        <v>-800</v>
      </c>
      <c r="D41" s="68">
        <f t="shared" ref="D41:G41" si="11">SUM(D34:D38)</f>
        <v>117</v>
      </c>
      <c r="E41" s="68">
        <f t="shared" si="11"/>
        <v>258.5</v>
      </c>
      <c r="F41" s="68">
        <f t="shared" si="11"/>
        <v>382.25</v>
      </c>
      <c r="G41" s="68">
        <f t="shared" si="11"/>
        <v>465.5</v>
      </c>
      <c r="H41" s="69">
        <f>SUM(H34:H38)</f>
        <v>733.5</v>
      </c>
    </row>
    <row r="42" spans="1:8" x14ac:dyDescent="0.25">
      <c r="C42" s="53"/>
      <c r="D42" s="53"/>
      <c r="E42" s="53"/>
      <c r="F42" s="53"/>
      <c r="G42" s="53"/>
      <c r="H42" s="53"/>
    </row>
    <row r="43" spans="1:8" x14ac:dyDescent="0.25">
      <c r="A43" s="53" t="s">
        <v>31</v>
      </c>
      <c r="B43" s="76" t="s">
        <v>167</v>
      </c>
      <c r="C43" s="77"/>
      <c r="D43" s="53"/>
      <c r="E43" s="53"/>
      <c r="F43" s="53"/>
      <c r="G43" s="53"/>
      <c r="H43" s="53"/>
    </row>
    <row r="44" spans="1:8" ht="16.95" customHeight="1" x14ac:dyDescent="0.25">
      <c r="B44" s="27"/>
      <c r="C44" s="80">
        <f>+(1/(1+(C20*(1-C16))))*C19</f>
        <v>1.2162162162162162</v>
      </c>
    </row>
    <row r="45" spans="1:8" x14ac:dyDescent="0.25">
      <c r="B45" s="78" t="s">
        <v>36</v>
      </c>
      <c r="C45" s="79"/>
    </row>
    <row r="46" spans="1:8" ht="16.2" x14ac:dyDescent="0.35">
      <c r="B46" s="14" t="s">
        <v>404</v>
      </c>
      <c r="C46" s="80">
        <f>+C44*(1+C14*(1-C16))</f>
        <v>2.6209459459459459</v>
      </c>
    </row>
    <row r="48" spans="1:8" ht="16.2" x14ac:dyDescent="0.35">
      <c r="B48" s="83" t="s">
        <v>408</v>
      </c>
      <c r="C48" s="84">
        <f>+C17+C46*C18</f>
        <v>0.30209459459459459</v>
      </c>
    </row>
    <row r="49" spans="1:3" x14ac:dyDescent="0.25">
      <c r="B49" s="74" t="s">
        <v>182</v>
      </c>
      <c r="C49" s="85">
        <f>1-C50</f>
        <v>0.62264150943396224</v>
      </c>
    </row>
    <row r="50" spans="1:3" x14ac:dyDescent="0.25">
      <c r="B50" s="74" t="s">
        <v>183</v>
      </c>
      <c r="C50" s="85">
        <f>1/(1+C14)</f>
        <v>0.37735849056603776</v>
      </c>
    </row>
    <row r="51" spans="1:3" ht="16.2" x14ac:dyDescent="0.35">
      <c r="B51" s="81" t="s">
        <v>409</v>
      </c>
      <c r="C51" s="82">
        <f>+C49*C15*(1-C16)+C50*C48</f>
        <v>0.15322437531871494</v>
      </c>
    </row>
    <row r="53" spans="1:3" x14ac:dyDescent="0.25">
      <c r="A53" s="53" t="s">
        <v>32</v>
      </c>
      <c r="B53" s="78" t="s">
        <v>380</v>
      </c>
      <c r="C53" s="66">
        <f>+C41+NPV(C51,C41:H41)</f>
        <v>-481.01955423345487</v>
      </c>
    </row>
  </sheetData>
  <sheetProtection algorithmName="SHA-512" hashValue="Hnyr4rgzaqAfHqN4as3nhJi3GBg4Jk/+S9VWtRMMjRELsq7cv2CsBnmjdTxdK4c2MbU99fhiT5uVRdXmlSY3fA==" saltValue="oeexbmR0gA6zL2iQFJNfjQ==" spinCount="100000" sheet="1" objects="1" scenarios="1"/>
  <mergeCells count="6">
    <mergeCell ref="D10:H10"/>
    <mergeCell ref="B1:H1"/>
    <mergeCell ref="B3:H4"/>
    <mergeCell ref="D7:H7"/>
    <mergeCell ref="D8:H8"/>
    <mergeCell ref="D9:H9"/>
  </mergeCells>
  <phoneticPr fontId="1" type="noConversion"/>
  <hyperlinks>
    <hyperlink ref="B53" r:id="rId1" display="VPN@19.28%" xr:uid="{00000000-0004-0000-0200-000000000000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71"/>
  <sheetViews>
    <sheetView tabSelected="1" zoomScaleNormal="100" workbookViewId="0"/>
  </sheetViews>
  <sheetFormatPr baseColWidth="10" defaultColWidth="11.44140625" defaultRowHeight="13.8" x14ac:dyDescent="0.25"/>
  <cols>
    <col min="1" max="1" width="23" style="29" customWidth="1"/>
    <col min="2" max="2" width="22.6640625" style="86" customWidth="1"/>
    <col min="3" max="3" width="12.88671875" style="86" customWidth="1"/>
    <col min="4" max="4" width="20" style="86" bestFit="1" customWidth="1"/>
    <col min="5" max="8" width="12.44140625" style="86" bestFit="1" customWidth="1"/>
    <col min="9" max="9" width="11.44140625" style="86"/>
    <col min="10" max="10" width="18.109375" style="86" customWidth="1"/>
    <col min="11" max="11" width="10.6640625" style="86" bestFit="1" customWidth="1"/>
    <col min="12" max="16" width="11.109375" style="86" bestFit="1" customWidth="1"/>
    <col min="17" max="16384" width="11.44140625" style="86"/>
  </cols>
  <sheetData>
    <row r="1" spans="2:16" ht="19.95" customHeight="1" x14ac:dyDescent="0.25">
      <c r="B1" s="619" t="s">
        <v>410</v>
      </c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</row>
    <row r="3" spans="2:16" ht="14.4" customHeight="1" x14ac:dyDescent="0.25">
      <c r="B3" s="622" t="s">
        <v>184</v>
      </c>
      <c r="C3" s="623"/>
      <c r="D3" s="623"/>
      <c r="E3" s="624"/>
    </row>
    <row r="4" spans="2:16" x14ac:dyDescent="0.25">
      <c r="B4" s="625"/>
      <c r="C4" s="626"/>
      <c r="D4" s="626"/>
      <c r="E4" s="627"/>
      <c r="F4" s="87"/>
      <c r="G4" s="87"/>
      <c r="H4" s="87"/>
    </row>
    <row r="5" spans="2:16" x14ac:dyDescent="0.25">
      <c r="B5" s="107"/>
      <c r="C5" s="109" t="s">
        <v>23</v>
      </c>
      <c r="D5" s="109" t="s">
        <v>198</v>
      </c>
      <c r="E5" s="108"/>
      <c r="F5" s="9"/>
      <c r="G5" s="9"/>
      <c r="H5" s="9"/>
    </row>
    <row r="6" spans="2:16" x14ac:dyDescent="0.25">
      <c r="B6" s="100" t="s">
        <v>186</v>
      </c>
      <c r="C6" s="88"/>
      <c r="D6" s="89">
        <v>120000</v>
      </c>
      <c r="E6" s="101"/>
      <c r="F6" s="89"/>
      <c r="G6" s="89"/>
      <c r="H6" s="89"/>
    </row>
    <row r="7" spans="2:16" x14ac:dyDescent="0.25">
      <c r="B7" s="100" t="s">
        <v>149</v>
      </c>
      <c r="C7" s="88"/>
      <c r="D7" s="89">
        <v>6</v>
      </c>
      <c r="E7" s="101"/>
      <c r="F7" s="89"/>
      <c r="G7" s="89"/>
      <c r="H7" s="89"/>
    </row>
    <row r="8" spans="2:16" x14ac:dyDescent="0.25">
      <c r="B8" s="100" t="s">
        <v>185</v>
      </c>
      <c r="C8" s="88"/>
      <c r="D8" s="89">
        <v>2.2000000000000002</v>
      </c>
      <c r="E8" s="101"/>
      <c r="F8" s="89"/>
      <c r="G8" s="89"/>
      <c r="H8" s="89"/>
    </row>
    <row r="9" spans="2:16" x14ac:dyDescent="0.25">
      <c r="B9" s="100" t="s">
        <v>187</v>
      </c>
      <c r="C9" s="88"/>
      <c r="D9" s="89">
        <v>60000</v>
      </c>
      <c r="E9" s="101"/>
      <c r="F9" s="89"/>
      <c r="G9" s="89"/>
      <c r="H9" s="89"/>
    </row>
    <row r="10" spans="2:16" x14ac:dyDescent="0.25">
      <c r="B10" s="100" t="s">
        <v>361</v>
      </c>
      <c r="C10" s="88"/>
      <c r="D10" s="90">
        <v>0.1</v>
      </c>
      <c r="E10" s="102"/>
      <c r="F10" s="90"/>
      <c r="G10" s="90"/>
      <c r="H10" s="90"/>
    </row>
    <row r="11" spans="2:16" x14ac:dyDescent="0.25">
      <c r="B11" s="100" t="s">
        <v>154</v>
      </c>
      <c r="C11" s="88"/>
      <c r="D11" s="88">
        <v>100000</v>
      </c>
      <c r="E11" s="103" t="s">
        <v>199</v>
      </c>
    </row>
    <row r="12" spans="2:16" x14ac:dyDescent="0.25">
      <c r="B12" s="100" t="s">
        <v>153</v>
      </c>
      <c r="C12" s="88"/>
      <c r="D12" s="90">
        <v>0.3</v>
      </c>
      <c r="E12" s="102"/>
      <c r="F12" s="91"/>
      <c r="G12" s="91"/>
      <c r="H12" s="91"/>
    </row>
    <row r="13" spans="2:16" x14ac:dyDescent="0.25">
      <c r="B13" s="100" t="s">
        <v>170</v>
      </c>
      <c r="C13" s="88">
        <v>300000</v>
      </c>
      <c r="D13" s="88"/>
      <c r="E13" s="103"/>
    </row>
    <row r="14" spans="2:16" x14ac:dyDescent="0.25">
      <c r="B14" s="100" t="s">
        <v>43</v>
      </c>
      <c r="C14" s="92">
        <v>0.1</v>
      </c>
      <c r="D14" s="88" t="s">
        <v>172</v>
      </c>
      <c r="E14" s="103"/>
    </row>
    <row r="15" spans="2:16" x14ac:dyDescent="0.25">
      <c r="B15" s="55" t="s">
        <v>189</v>
      </c>
      <c r="C15" s="88">
        <v>1.8</v>
      </c>
      <c r="D15" s="88"/>
      <c r="E15" s="103"/>
    </row>
    <row r="16" spans="2:16" x14ac:dyDescent="0.25">
      <c r="B16" s="100" t="s">
        <v>152</v>
      </c>
      <c r="C16" s="92">
        <v>0.08</v>
      </c>
      <c r="D16" s="88"/>
      <c r="E16" s="103"/>
    </row>
    <row r="17" spans="2:8" ht="16.2" x14ac:dyDescent="0.35">
      <c r="B17" s="8" t="s">
        <v>402</v>
      </c>
      <c r="C17" s="51">
        <v>0.06</v>
      </c>
      <c r="D17" s="88"/>
      <c r="E17" s="103"/>
    </row>
    <row r="18" spans="2:8" ht="16.2" x14ac:dyDescent="0.35">
      <c r="B18" s="8" t="s">
        <v>403</v>
      </c>
      <c r="C18" s="51">
        <v>7.0000000000000007E-2</v>
      </c>
      <c r="D18" s="88"/>
      <c r="E18" s="103"/>
    </row>
    <row r="19" spans="2:8" x14ac:dyDescent="0.25">
      <c r="B19" s="8"/>
      <c r="C19" s="49">
        <v>1.6</v>
      </c>
      <c r="D19" s="88"/>
      <c r="E19" s="103"/>
    </row>
    <row r="20" spans="2:8" x14ac:dyDescent="0.25">
      <c r="B20" s="55" t="s">
        <v>188</v>
      </c>
      <c r="C20" s="88">
        <v>2.33</v>
      </c>
      <c r="D20" s="88"/>
      <c r="E20" s="103"/>
    </row>
    <row r="21" spans="2:8" x14ac:dyDescent="0.25">
      <c r="B21" s="104"/>
      <c r="C21" s="105"/>
      <c r="D21" s="105"/>
      <c r="E21" s="106"/>
    </row>
    <row r="23" spans="2:8" x14ac:dyDescent="0.25">
      <c r="B23" s="70" t="s">
        <v>168</v>
      </c>
      <c r="C23" s="71" t="s">
        <v>23</v>
      </c>
      <c r="D23" s="71" t="s">
        <v>0</v>
      </c>
      <c r="E23" s="71" t="s">
        <v>1</v>
      </c>
      <c r="F23" s="71" t="s">
        <v>2</v>
      </c>
      <c r="G23" s="71" t="s">
        <v>3</v>
      </c>
      <c r="H23" s="72" t="s">
        <v>38</v>
      </c>
    </row>
    <row r="24" spans="2:8" x14ac:dyDescent="0.25">
      <c r="B24" s="55" t="s">
        <v>24</v>
      </c>
      <c r="C24" s="88"/>
      <c r="D24" s="88">
        <f>+$D$6*$D$7</f>
        <v>720000</v>
      </c>
      <c r="E24" s="88">
        <f t="shared" ref="E24:H24" si="0">+$D$6*$D$7</f>
        <v>720000</v>
      </c>
      <c r="F24" s="88">
        <f t="shared" si="0"/>
        <v>720000</v>
      </c>
      <c r="G24" s="88">
        <f t="shared" si="0"/>
        <v>720000</v>
      </c>
      <c r="H24" s="103">
        <f t="shared" si="0"/>
        <v>720000</v>
      </c>
    </row>
    <row r="25" spans="2:8" x14ac:dyDescent="0.25">
      <c r="B25" s="55" t="s">
        <v>178</v>
      </c>
      <c r="C25" s="88"/>
      <c r="D25" s="88"/>
      <c r="E25" s="88"/>
      <c r="F25" s="88"/>
      <c r="G25" s="88"/>
      <c r="H25" s="103">
        <f>+D11-(C13+D28+E28+F28+G28+H28)</f>
        <v>-50000</v>
      </c>
    </row>
    <row r="26" spans="2:8" x14ac:dyDescent="0.25">
      <c r="B26" s="55" t="s">
        <v>151</v>
      </c>
      <c r="C26" s="88"/>
      <c r="D26" s="88">
        <f>-$D$6*$D$8</f>
        <v>-264000</v>
      </c>
      <c r="E26" s="88">
        <f t="shared" ref="E26:H26" si="1">-$D$6*$D$8</f>
        <v>-264000</v>
      </c>
      <c r="F26" s="88">
        <f t="shared" si="1"/>
        <v>-264000</v>
      </c>
      <c r="G26" s="88">
        <f t="shared" si="1"/>
        <v>-264000</v>
      </c>
      <c r="H26" s="103">
        <f t="shared" si="1"/>
        <v>-264000</v>
      </c>
    </row>
    <row r="27" spans="2:8" x14ac:dyDescent="0.25">
      <c r="B27" s="55" t="s">
        <v>176</v>
      </c>
      <c r="C27" s="88"/>
      <c r="D27" s="88">
        <f>-$D$9</f>
        <v>-60000</v>
      </c>
      <c r="E27" s="88">
        <f t="shared" ref="E27:H27" si="2">-$D$9</f>
        <v>-60000</v>
      </c>
      <c r="F27" s="88">
        <f t="shared" si="2"/>
        <v>-60000</v>
      </c>
      <c r="G27" s="88">
        <f t="shared" si="2"/>
        <v>-60000</v>
      </c>
      <c r="H27" s="103">
        <f t="shared" si="2"/>
        <v>-60000</v>
      </c>
    </row>
    <row r="28" spans="2:8" x14ac:dyDescent="0.25">
      <c r="B28" s="55" t="s">
        <v>6</v>
      </c>
      <c r="C28" s="88"/>
      <c r="D28" s="88">
        <f>-$C$13*$D$10</f>
        <v>-30000</v>
      </c>
      <c r="E28" s="88">
        <f t="shared" ref="E28:H28" si="3">-$C$13*$D$10</f>
        <v>-30000</v>
      </c>
      <c r="F28" s="88">
        <f t="shared" si="3"/>
        <v>-30000</v>
      </c>
      <c r="G28" s="88">
        <f t="shared" si="3"/>
        <v>-30000</v>
      </c>
      <c r="H28" s="103">
        <f t="shared" si="3"/>
        <v>-30000</v>
      </c>
    </row>
    <row r="29" spans="2:8" x14ac:dyDescent="0.25">
      <c r="B29" s="55" t="s">
        <v>153</v>
      </c>
      <c r="C29" s="88"/>
      <c r="D29" s="88">
        <f>-SUM(D24:D28)*$D$12</f>
        <v>-109800</v>
      </c>
      <c r="E29" s="88">
        <f t="shared" ref="E29:H29" si="4">-SUM(E24:E28)*$D$12</f>
        <v>-109800</v>
      </c>
      <c r="F29" s="88">
        <f t="shared" si="4"/>
        <v>-109800</v>
      </c>
      <c r="G29" s="88">
        <f t="shared" si="4"/>
        <v>-109800</v>
      </c>
      <c r="H29" s="103">
        <f t="shared" si="4"/>
        <v>-94800</v>
      </c>
    </row>
    <row r="30" spans="2:8" x14ac:dyDescent="0.25">
      <c r="B30" s="67" t="s">
        <v>26</v>
      </c>
      <c r="C30" s="111"/>
      <c r="D30" s="111">
        <f>SUM(D24:D29)</f>
        <v>256200</v>
      </c>
      <c r="E30" s="111">
        <f t="shared" ref="E30:H30" si="5">SUM(E24:E29)</f>
        <v>256200</v>
      </c>
      <c r="F30" s="111">
        <f t="shared" si="5"/>
        <v>256200</v>
      </c>
      <c r="G30" s="111">
        <f t="shared" si="5"/>
        <v>256200</v>
      </c>
      <c r="H30" s="112">
        <f t="shared" si="5"/>
        <v>221200</v>
      </c>
    </row>
    <row r="31" spans="2:8" x14ac:dyDescent="0.25">
      <c r="B31" s="48"/>
    </row>
    <row r="32" spans="2:8" x14ac:dyDescent="0.25">
      <c r="B32" s="70" t="s">
        <v>157</v>
      </c>
      <c r="C32" s="71" t="s">
        <v>23</v>
      </c>
      <c r="D32" s="71" t="s">
        <v>0</v>
      </c>
      <c r="E32" s="71" t="s">
        <v>1</v>
      </c>
      <c r="F32" s="71" t="s">
        <v>2</v>
      </c>
      <c r="G32" s="71" t="s">
        <v>3</v>
      </c>
      <c r="H32" s="72" t="s">
        <v>38</v>
      </c>
    </row>
    <row r="33" spans="2:16" x14ac:dyDescent="0.25">
      <c r="B33" s="55" t="s">
        <v>9</v>
      </c>
      <c r="C33" s="88"/>
      <c r="D33" s="88">
        <f>+D30</f>
        <v>256200</v>
      </c>
      <c r="E33" s="88">
        <f t="shared" ref="E33:H33" si="6">+E30</f>
        <v>256200</v>
      </c>
      <c r="F33" s="88">
        <f t="shared" si="6"/>
        <v>256200</v>
      </c>
      <c r="G33" s="88">
        <f t="shared" si="6"/>
        <v>256200</v>
      </c>
      <c r="H33" s="103">
        <f t="shared" si="6"/>
        <v>221200</v>
      </c>
    </row>
    <row r="34" spans="2:16" x14ac:dyDescent="0.25">
      <c r="B34" s="55" t="s">
        <v>179</v>
      </c>
      <c r="C34" s="88"/>
      <c r="D34" s="88">
        <f>-D28</f>
        <v>30000</v>
      </c>
      <c r="E34" s="88">
        <f t="shared" ref="E34:H34" si="7">-E28</f>
        <v>30000</v>
      </c>
      <c r="F34" s="88">
        <f t="shared" si="7"/>
        <v>30000</v>
      </c>
      <c r="G34" s="88">
        <f t="shared" si="7"/>
        <v>30000</v>
      </c>
      <c r="H34" s="103">
        <f t="shared" si="7"/>
        <v>30000</v>
      </c>
    </row>
    <row r="35" spans="2:16" x14ac:dyDescent="0.25">
      <c r="B35" s="55" t="s">
        <v>180</v>
      </c>
      <c r="C35" s="88"/>
      <c r="D35" s="88"/>
      <c r="E35" s="88"/>
      <c r="F35" s="88"/>
      <c r="G35" s="88"/>
      <c r="H35" s="103">
        <f>+C13+D28+E28+F28+G28+H28</f>
        <v>150000</v>
      </c>
    </row>
    <row r="36" spans="2:16" x14ac:dyDescent="0.25">
      <c r="B36" s="55" t="s">
        <v>96</v>
      </c>
      <c r="C36" s="88"/>
      <c r="D36" s="88"/>
      <c r="E36" s="88"/>
      <c r="F36" s="88"/>
      <c r="G36" s="88"/>
      <c r="H36" s="103">
        <f>-SUM(C39:G39)</f>
        <v>72000</v>
      </c>
    </row>
    <row r="37" spans="2:16" x14ac:dyDescent="0.25">
      <c r="B37" s="55" t="s">
        <v>27</v>
      </c>
      <c r="C37" s="88">
        <f>SUM(C38:C39)</f>
        <v>-372000</v>
      </c>
      <c r="D37" s="88">
        <f t="shared" ref="D37:H37" si="8">SUM(D38:D39)</f>
        <v>0</v>
      </c>
      <c r="E37" s="88">
        <f t="shared" si="8"/>
        <v>0</v>
      </c>
      <c r="F37" s="88">
        <f t="shared" si="8"/>
        <v>0</v>
      </c>
      <c r="G37" s="88">
        <f t="shared" si="8"/>
        <v>0</v>
      </c>
      <c r="H37" s="103">
        <f t="shared" si="8"/>
        <v>0</v>
      </c>
      <c r="J37" s="135" t="s">
        <v>190</v>
      </c>
      <c r="K37" s="134">
        <f>1-K38</f>
        <v>0.64285714285714279</v>
      </c>
    </row>
    <row r="38" spans="2:16" x14ac:dyDescent="0.25">
      <c r="B38" s="55" t="s">
        <v>181</v>
      </c>
      <c r="C38" s="88">
        <f>-C13</f>
        <v>-300000</v>
      </c>
      <c r="D38" s="88"/>
      <c r="E38" s="88"/>
      <c r="F38" s="88"/>
      <c r="G38" s="88"/>
      <c r="H38" s="103"/>
      <c r="J38" s="136" t="s">
        <v>191</v>
      </c>
      <c r="K38" s="133">
        <f>1/(1+C15)</f>
        <v>0.35714285714285715</v>
      </c>
    </row>
    <row r="39" spans="2:16" x14ac:dyDescent="0.25">
      <c r="B39" s="55" t="s">
        <v>29</v>
      </c>
      <c r="C39" s="88">
        <f>-(D24-C24)*$D$10</f>
        <v>-72000</v>
      </c>
      <c r="D39" s="88"/>
      <c r="E39" s="88"/>
      <c r="F39" s="88"/>
      <c r="G39" s="88"/>
      <c r="H39" s="103"/>
    </row>
    <row r="40" spans="2:16" x14ac:dyDescent="0.25">
      <c r="B40" s="113" t="s">
        <v>98</v>
      </c>
      <c r="C40" s="114">
        <f>SUM(C33:C37)</f>
        <v>-372000</v>
      </c>
      <c r="D40" s="114">
        <f>SUM(D33:D37)</f>
        <v>286200</v>
      </c>
      <c r="E40" s="114">
        <f t="shared" ref="E40:H40" si="9">SUM(E33:E37)</f>
        <v>286200</v>
      </c>
      <c r="F40" s="114">
        <f t="shared" si="9"/>
        <v>286200</v>
      </c>
      <c r="G40" s="114">
        <f t="shared" si="9"/>
        <v>286200</v>
      </c>
      <c r="H40" s="115">
        <f t="shared" si="9"/>
        <v>473200</v>
      </c>
      <c r="J40" s="127"/>
      <c r="K40" s="71" t="s">
        <v>23</v>
      </c>
      <c r="L40" s="71" t="s">
        <v>0</v>
      </c>
      <c r="M40" s="71" t="s">
        <v>1</v>
      </c>
      <c r="N40" s="71" t="s">
        <v>2</v>
      </c>
      <c r="O40" s="71" t="s">
        <v>3</v>
      </c>
      <c r="P40" s="72" t="s">
        <v>38</v>
      </c>
    </row>
    <row r="41" spans="2:16" x14ac:dyDescent="0.25">
      <c r="B41" s="100" t="s">
        <v>136</v>
      </c>
      <c r="C41" s="88"/>
      <c r="D41" s="88">
        <f>-L45</f>
        <v>-59894.872134983496</v>
      </c>
      <c r="E41" s="88">
        <f>-M45</f>
        <v>-59894.872134983496</v>
      </c>
      <c r="F41" s="88">
        <f>-N45</f>
        <v>-59894.872134983496</v>
      </c>
      <c r="G41" s="88">
        <f>-O45</f>
        <v>-59894.872134983496</v>
      </c>
      <c r="H41" s="103">
        <f>-P45</f>
        <v>-59894.872134983496</v>
      </c>
      <c r="J41" s="100"/>
      <c r="K41" s="95"/>
      <c r="L41" s="95"/>
      <c r="M41" s="95"/>
      <c r="N41" s="95"/>
      <c r="O41" s="95"/>
      <c r="P41" s="10"/>
    </row>
    <row r="42" spans="2:16" x14ac:dyDescent="0.25">
      <c r="B42" s="100" t="s">
        <v>137</v>
      </c>
      <c r="C42" s="88"/>
      <c r="D42" s="88">
        <f>+L44*$D$12</f>
        <v>5739.4285714285716</v>
      </c>
      <c r="E42" s="88">
        <f>+M44*$D$12</f>
        <v>4761.1059259032527</v>
      </c>
      <c r="F42" s="88">
        <f>+N44*$D$12</f>
        <v>3704.517468735909</v>
      </c>
      <c r="G42" s="88">
        <f>+O44*$D$12</f>
        <v>2563.4019349951782</v>
      </c>
      <c r="H42" s="103">
        <f>+P44*$D$12</f>
        <v>1330.9971585551887</v>
      </c>
      <c r="J42" s="100" t="s">
        <v>58</v>
      </c>
      <c r="K42" s="88">
        <f>+K37*-C40</f>
        <v>239142.85714285713</v>
      </c>
      <c r="L42" s="88">
        <f>+K42-L43</f>
        <v>198379.4135793022</v>
      </c>
      <c r="M42" s="88">
        <f t="shared" ref="M42:P42" si="10">+L42-M43</f>
        <v>154354.89453066289</v>
      </c>
      <c r="N42" s="88">
        <f t="shared" si="10"/>
        <v>106808.41395813243</v>
      </c>
      <c r="O42" s="88">
        <f t="shared" si="10"/>
        <v>55458.214939799524</v>
      </c>
      <c r="P42" s="103">
        <f t="shared" si="10"/>
        <v>0</v>
      </c>
    </row>
    <row r="43" spans="2:16" x14ac:dyDescent="0.25">
      <c r="B43" s="100" t="s">
        <v>158</v>
      </c>
      <c r="C43" s="88">
        <f>+K42</f>
        <v>239142.85714285713</v>
      </c>
      <c r="D43" s="88"/>
      <c r="E43" s="88"/>
      <c r="F43" s="88"/>
      <c r="G43" s="88"/>
      <c r="H43" s="103"/>
      <c r="J43" s="100" t="s">
        <v>55</v>
      </c>
      <c r="K43" s="88"/>
      <c r="L43" s="88">
        <f>+L45-L44</f>
        <v>40763.443563554923</v>
      </c>
      <c r="M43" s="88">
        <f t="shared" ref="M43:P43" si="11">+M45-M44</f>
        <v>44024.519048639318</v>
      </c>
      <c r="N43" s="88">
        <f t="shared" si="11"/>
        <v>47546.480572530461</v>
      </c>
      <c r="O43" s="88">
        <f t="shared" si="11"/>
        <v>51350.199018332904</v>
      </c>
      <c r="P43" s="103">
        <f t="shared" si="11"/>
        <v>55458.214939799531</v>
      </c>
    </row>
    <row r="44" spans="2:16" x14ac:dyDescent="0.25">
      <c r="B44" s="113" t="s">
        <v>192</v>
      </c>
      <c r="C44" s="114">
        <f>SUM(C41:C43)</f>
        <v>239142.85714285713</v>
      </c>
      <c r="D44" s="114">
        <f>SUM(D41:D43)</f>
        <v>-54155.443563554923</v>
      </c>
      <c r="E44" s="114">
        <f t="shared" ref="E44:H44" si="12">SUM(E41:E43)</f>
        <v>-55133.766209080241</v>
      </c>
      <c r="F44" s="114">
        <f t="shared" si="12"/>
        <v>-56190.354666247586</v>
      </c>
      <c r="G44" s="114">
        <f t="shared" si="12"/>
        <v>-57331.470199988318</v>
      </c>
      <c r="H44" s="115">
        <f t="shared" si="12"/>
        <v>-58563.874976428306</v>
      </c>
      <c r="J44" s="100" t="s">
        <v>56</v>
      </c>
      <c r="K44" s="88"/>
      <c r="L44" s="88">
        <f>+K42*$C$16</f>
        <v>19131.428571428572</v>
      </c>
      <c r="M44" s="88">
        <f t="shared" ref="M44:P44" si="13">+L42*$C$16</f>
        <v>15870.353086344176</v>
      </c>
      <c r="N44" s="88">
        <f t="shared" si="13"/>
        <v>12348.391562453031</v>
      </c>
      <c r="O44" s="88">
        <f t="shared" si="13"/>
        <v>8544.6731166505942</v>
      </c>
      <c r="P44" s="103">
        <f t="shared" si="13"/>
        <v>4436.6571951839624</v>
      </c>
    </row>
    <row r="45" spans="2:16" x14ac:dyDescent="0.25">
      <c r="B45" s="67" t="s">
        <v>139</v>
      </c>
      <c r="C45" s="111">
        <f>+C40+C44</f>
        <v>-132857.14285714287</v>
      </c>
      <c r="D45" s="111">
        <f t="shared" ref="D45:H45" si="14">+D40+D44</f>
        <v>232044.55643644507</v>
      </c>
      <c r="E45" s="111">
        <f t="shared" si="14"/>
        <v>231066.23379091977</v>
      </c>
      <c r="F45" s="111">
        <f t="shared" si="14"/>
        <v>230009.64533375241</v>
      </c>
      <c r="G45" s="111">
        <f t="shared" si="14"/>
        <v>228868.52980001169</v>
      </c>
      <c r="H45" s="112">
        <f t="shared" si="14"/>
        <v>414636.12502357172</v>
      </c>
      <c r="J45" s="137" t="s">
        <v>135</v>
      </c>
      <c r="K45" s="111"/>
      <c r="L45" s="111">
        <f>PMT($C$16,5,-$K$42)</f>
        <v>59894.872134983496</v>
      </c>
      <c r="M45" s="111">
        <f t="shared" ref="M45:P45" si="15">PMT($C$16,5,-$K$42)</f>
        <v>59894.872134983496</v>
      </c>
      <c r="N45" s="111">
        <f t="shared" si="15"/>
        <v>59894.872134983496</v>
      </c>
      <c r="O45" s="111">
        <f t="shared" si="15"/>
        <v>59894.872134983496</v>
      </c>
      <c r="P45" s="112">
        <f t="shared" si="15"/>
        <v>59894.872134983496</v>
      </c>
    </row>
    <row r="47" spans="2:16" x14ac:dyDescent="0.25">
      <c r="J47" s="88"/>
      <c r="K47" s="88"/>
      <c r="L47" s="88"/>
      <c r="M47" s="88"/>
      <c r="N47" s="88"/>
      <c r="O47" s="88"/>
      <c r="P47" s="88"/>
    </row>
    <row r="48" spans="2:16" x14ac:dyDescent="0.25">
      <c r="B48" s="48"/>
      <c r="C48" s="53"/>
      <c r="J48" s="88"/>
      <c r="K48" s="95"/>
      <c r="L48" s="95"/>
      <c r="M48" s="95"/>
      <c r="N48" s="95"/>
      <c r="O48" s="95"/>
      <c r="P48" s="95"/>
    </row>
    <row r="49" spans="1:16" x14ac:dyDescent="0.25">
      <c r="B49" s="76" t="s">
        <v>263</v>
      </c>
      <c r="C49" s="77">
        <f>+(1/(1+(C20*(1-D12))))*C19</f>
        <v>0.60813378943367535</v>
      </c>
      <c r="J49" s="88"/>
      <c r="K49" s="88"/>
      <c r="L49" s="88"/>
      <c r="M49" s="88"/>
      <c r="N49" s="88"/>
      <c r="O49" s="88"/>
      <c r="P49" s="88"/>
    </row>
    <row r="50" spans="1:16" ht="4.95" customHeight="1" x14ac:dyDescent="0.25">
      <c r="B50" s="117"/>
      <c r="C50" s="118"/>
      <c r="J50" s="88"/>
      <c r="K50" s="88"/>
      <c r="L50" s="88"/>
      <c r="M50" s="88"/>
      <c r="N50" s="88"/>
      <c r="O50" s="88"/>
      <c r="P50" s="88"/>
    </row>
    <row r="51" spans="1:16" ht="15" customHeight="1" x14ac:dyDescent="0.35">
      <c r="B51" s="81" t="s">
        <v>404</v>
      </c>
      <c r="C51" s="116">
        <f>+C49*(1+C15*(1-D12))</f>
        <v>1.3743823641201061</v>
      </c>
      <c r="J51" s="88"/>
      <c r="K51" s="88"/>
      <c r="L51" s="88"/>
      <c r="M51" s="88"/>
      <c r="N51" s="88"/>
      <c r="O51" s="88"/>
      <c r="P51" s="88"/>
    </row>
    <row r="52" spans="1:16" x14ac:dyDescent="0.25">
      <c r="B52" s="48"/>
      <c r="C52" s="47"/>
      <c r="J52" s="96"/>
      <c r="K52" s="97"/>
      <c r="L52" s="97"/>
      <c r="M52" s="97"/>
      <c r="N52" s="97"/>
      <c r="O52" s="97"/>
      <c r="P52" s="97"/>
    </row>
    <row r="53" spans="1:16" x14ac:dyDescent="0.25">
      <c r="J53" s="88"/>
      <c r="K53" s="88"/>
      <c r="L53" s="88"/>
      <c r="M53" s="88"/>
      <c r="N53" s="88"/>
      <c r="O53" s="88"/>
      <c r="P53" s="88"/>
    </row>
    <row r="54" spans="1:16" x14ac:dyDescent="0.25">
      <c r="B54" s="122" t="s">
        <v>381</v>
      </c>
      <c r="C54" s="123">
        <f>+C17+C49*C18</f>
        <v>0.10256936526035729</v>
      </c>
      <c r="J54" s="88"/>
      <c r="K54" s="95"/>
      <c r="L54" s="95"/>
      <c r="M54" s="95"/>
      <c r="N54" s="95"/>
      <c r="O54" s="95"/>
      <c r="P54" s="95"/>
    </row>
    <row r="55" spans="1:16" ht="16.2" x14ac:dyDescent="0.35">
      <c r="B55" s="124" t="s">
        <v>408</v>
      </c>
      <c r="C55" s="125">
        <f>+C17+C51*C18</f>
        <v>0.15620676548840745</v>
      </c>
      <c r="J55" s="98"/>
      <c r="K55" s="88"/>
      <c r="L55" s="88"/>
      <c r="M55" s="88"/>
      <c r="N55" s="88"/>
      <c r="O55" s="88"/>
      <c r="P55" s="88"/>
    </row>
    <row r="56" spans="1:16" x14ac:dyDescent="0.25">
      <c r="B56" s="120" t="s">
        <v>22</v>
      </c>
      <c r="C56" s="121">
        <f>+K37*C16*(1-D12)+K38*C55</f>
        <v>9.1788130531574086E-2</v>
      </c>
      <c r="J56" s="98"/>
      <c r="K56" s="88"/>
      <c r="L56" s="88"/>
      <c r="M56" s="88"/>
      <c r="N56" s="88"/>
      <c r="O56" s="88"/>
      <c r="P56" s="88"/>
    </row>
    <row r="57" spans="1:16" x14ac:dyDescent="0.25">
      <c r="J57" s="96"/>
      <c r="K57" s="97"/>
      <c r="L57" s="97"/>
      <c r="M57" s="97"/>
      <c r="N57" s="97"/>
      <c r="O57" s="97"/>
      <c r="P57" s="97"/>
    </row>
    <row r="58" spans="1:16" x14ac:dyDescent="0.25">
      <c r="A58" s="29" t="s">
        <v>30</v>
      </c>
      <c r="B58" s="78" t="s">
        <v>194</v>
      </c>
      <c r="C58" s="110">
        <f>+C40+NPV(C56,D40:H40)</f>
        <v>856617.56267934502</v>
      </c>
      <c r="J58" s="96"/>
      <c r="K58" s="97"/>
      <c r="L58" s="97"/>
      <c r="M58" s="97"/>
      <c r="N58" s="97"/>
      <c r="O58" s="97"/>
      <c r="P58" s="97"/>
    </row>
    <row r="59" spans="1:16" x14ac:dyDescent="0.25">
      <c r="B59" s="54"/>
      <c r="C59" s="99"/>
      <c r="J59" s="96"/>
      <c r="K59" s="97"/>
      <c r="L59" s="97"/>
      <c r="M59" s="97"/>
      <c r="N59" s="97"/>
      <c r="O59" s="97"/>
      <c r="P59" s="97"/>
    </row>
    <row r="60" spans="1:16" x14ac:dyDescent="0.25">
      <c r="A60" s="29" t="s">
        <v>31</v>
      </c>
      <c r="B60" s="78" t="s">
        <v>193</v>
      </c>
      <c r="C60" s="110">
        <f>+C45+NPV(C55,D45:H45)</f>
        <v>718240.84568531986</v>
      </c>
    </row>
    <row r="61" spans="1:16" x14ac:dyDescent="0.25">
      <c r="B61" s="54"/>
      <c r="C61" s="99"/>
    </row>
    <row r="62" spans="1:16" x14ac:dyDescent="0.25">
      <c r="A62" s="29" t="s">
        <v>32</v>
      </c>
      <c r="B62" s="120" t="s">
        <v>114</v>
      </c>
      <c r="C62" s="112">
        <f>SUM(C63:C64)</f>
        <v>835731.89669127762</v>
      </c>
    </row>
    <row r="63" spans="1:16" x14ac:dyDescent="0.25">
      <c r="B63" s="100" t="s">
        <v>195</v>
      </c>
      <c r="C63" s="103">
        <f>+C40+NPV(C54,D40:H40)</f>
        <v>820604.93338669115</v>
      </c>
    </row>
    <row r="64" spans="1:16" x14ac:dyDescent="0.25">
      <c r="B64" s="104" t="s">
        <v>196</v>
      </c>
      <c r="C64" s="106">
        <f>+C44+NPV(C16,D44:H44)</f>
        <v>15126.963304586447</v>
      </c>
    </row>
    <row r="66" spans="2:8" ht="4.2" customHeight="1" x14ac:dyDescent="0.25">
      <c r="B66" s="129"/>
      <c r="C66" s="97"/>
    </row>
    <row r="67" spans="2:8" x14ac:dyDescent="0.25">
      <c r="B67" s="130"/>
      <c r="C67" s="563" t="s">
        <v>23</v>
      </c>
      <c r="D67" s="563" t="s">
        <v>0</v>
      </c>
      <c r="E67" s="563" t="s">
        <v>1</v>
      </c>
      <c r="F67" s="563" t="s">
        <v>2</v>
      </c>
      <c r="G67" s="563" t="s">
        <v>3</v>
      </c>
      <c r="H67" s="564" t="s">
        <v>38</v>
      </c>
    </row>
    <row r="68" spans="2:8" x14ac:dyDescent="0.25">
      <c r="B68" s="262" t="s">
        <v>117</v>
      </c>
      <c r="C68" s="566"/>
      <c r="D68" s="566">
        <f>+L44*$D$12</f>
        <v>5739.4285714285716</v>
      </c>
      <c r="E68" s="566">
        <f t="shared" ref="E68:H68" si="16">+M44*$D$12</f>
        <v>4761.1059259032527</v>
      </c>
      <c r="F68" s="566">
        <f t="shared" si="16"/>
        <v>3704.517468735909</v>
      </c>
      <c r="G68" s="566">
        <f t="shared" si="16"/>
        <v>2563.4019349951782</v>
      </c>
      <c r="H68" s="132">
        <f t="shared" si="16"/>
        <v>1330.9971585551887</v>
      </c>
    </row>
    <row r="70" spans="2:8" ht="6" customHeight="1" x14ac:dyDescent="0.25"/>
    <row r="71" spans="2:8" x14ac:dyDescent="0.25">
      <c r="B71" s="78" t="s">
        <v>298</v>
      </c>
      <c r="C71" s="110">
        <f>NPV(C16,D68:H68)</f>
        <v>15126.96330458641</v>
      </c>
    </row>
  </sheetData>
  <sheetProtection algorithmName="SHA-512" hashValue="3zqYqjouQu3FjHt2ZdWiVkChX0nk02Iu4K4XwtByasBtwKMzbt1Ln0R9WjPNwEHWPxXTxOaT4MWM0juFX+a0yQ==" saltValue="zgtCGDVVpGmtASUi8J29Fg==" spinCount="100000" sheet="1" objects="1" scenarios="1"/>
  <mergeCells count="2">
    <mergeCell ref="B1:P1"/>
    <mergeCell ref="B3:E4"/>
  </mergeCells>
  <phoneticPr fontId="1" type="noConversion"/>
  <hyperlinks>
    <hyperlink ref="B58" r:id="rId1" display="VPN@9.18%" xr:uid="{00000000-0004-0000-0300-000000000000}"/>
    <hyperlink ref="B60" r:id="rId2" display="VPN@9.18%" xr:uid="{00000000-0004-0000-0300-000001000000}"/>
  </hyperlinks>
  <pageMargins left="0.7" right="0.7" top="0.75" bottom="0.75" header="0.3" footer="0.3"/>
  <pageSetup orientation="portrait" horizontalDpi="360" verticalDpi="360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M79"/>
  <sheetViews>
    <sheetView topLeftCell="C67" zoomScaleNormal="100" workbookViewId="0">
      <selection activeCell="F97" sqref="F97"/>
    </sheetView>
  </sheetViews>
  <sheetFormatPr baseColWidth="10" defaultRowHeight="13.8" x14ac:dyDescent="0.25"/>
  <cols>
    <col min="1" max="1" width="27.33203125" style="86" customWidth="1"/>
    <col min="2" max="2" width="22" style="86" customWidth="1"/>
    <col min="3" max="3" width="16.44140625" style="86" customWidth="1"/>
    <col min="4" max="4" width="30.44140625" style="86" customWidth="1"/>
    <col min="5" max="5" width="15.33203125" style="86" customWidth="1"/>
    <col min="6" max="6" width="15.5546875" style="86" customWidth="1"/>
    <col min="7" max="7" width="16.44140625" style="86" customWidth="1"/>
    <col min="8" max="8" width="23.5546875" style="86" bestFit="1" customWidth="1"/>
    <col min="9" max="9" width="27.109375" style="86" bestFit="1" customWidth="1"/>
    <col min="10" max="12" width="14.109375" style="86" bestFit="1" customWidth="1"/>
    <col min="13" max="13" width="14.33203125" style="86" customWidth="1"/>
    <col min="14" max="256" width="11.44140625" style="86"/>
    <col min="257" max="257" width="5" style="86" customWidth="1"/>
    <col min="258" max="258" width="11.44140625" style="86"/>
    <col min="259" max="259" width="14.109375" style="86" customWidth="1"/>
    <col min="260" max="260" width="16.33203125" style="86" customWidth="1"/>
    <col min="261" max="261" width="13.33203125" style="86" customWidth="1"/>
    <col min="262" max="262" width="11.44140625" style="86"/>
    <col min="263" max="263" width="17.109375" style="86" customWidth="1"/>
    <col min="264" max="512" width="11.44140625" style="86"/>
    <col min="513" max="513" width="5" style="86" customWidth="1"/>
    <col min="514" max="514" width="11.44140625" style="86"/>
    <col min="515" max="515" width="14.109375" style="86" customWidth="1"/>
    <col min="516" max="516" width="16.33203125" style="86" customWidth="1"/>
    <col min="517" max="517" width="13.33203125" style="86" customWidth="1"/>
    <col min="518" max="518" width="11.44140625" style="86"/>
    <col min="519" max="519" width="17.109375" style="86" customWidth="1"/>
    <col min="520" max="768" width="11.44140625" style="86"/>
    <col min="769" max="769" width="5" style="86" customWidth="1"/>
    <col min="770" max="770" width="11.44140625" style="86"/>
    <col min="771" max="771" width="14.109375" style="86" customWidth="1"/>
    <col min="772" max="772" width="16.33203125" style="86" customWidth="1"/>
    <col min="773" max="773" width="13.33203125" style="86" customWidth="1"/>
    <col min="774" max="774" width="11.44140625" style="86"/>
    <col min="775" max="775" width="17.109375" style="86" customWidth="1"/>
    <col min="776" max="1024" width="11.44140625" style="86"/>
    <col min="1025" max="1025" width="5" style="86" customWidth="1"/>
    <col min="1026" max="1026" width="11.44140625" style="86"/>
    <col min="1027" max="1027" width="14.109375" style="86" customWidth="1"/>
    <col min="1028" max="1028" width="16.33203125" style="86" customWidth="1"/>
    <col min="1029" max="1029" width="13.33203125" style="86" customWidth="1"/>
    <col min="1030" max="1030" width="11.44140625" style="86"/>
    <col min="1031" max="1031" width="17.109375" style="86" customWidth="1"/>
    <col min="1032" max="1280" width="11.44140625" style="86"/>
    <col min="1281" max="1281" width="5" style="86" customWidth="1"/>
    <col min="1282" max="1282" width="11.44140625" style="86"/>
    <col min="1283" max="1283" width="14.109375" style="86" customWidth="1"/>
    <col min="1284" max="1284" width="16.33203125" style="86" customWidth="1"/>
    <col min="1285" max="1285" width="13.33203125" style="86" customWidth="1"/>
    <col min="1286" max="1286" width="11.44140625" style="86"/>
    <col min="1287" max="1287" width="17.109375" style="86" customWidth="1"/>
    <col min="1288" max="1536" width="11.44140625" style="86"/>
    <col min="1537" max="1537" width="5" style="86" customWidth="1"/>
    <col min="1538" max="1538" width="11.44140625" style="86"/>
    <col min="1539" max="1539" width="14.109375" style="86" customWidth="1"/>
    <col min="1540" max="1540" width="16.33203125" style="86" customWidth="1"/>
    <col min="1541" max="1541" width="13.33203125" style="86" customWidth="1"/>
    <col min="1542" max="1542" width="11.44140625" style="86"/>
    <col min="1543" max="1543" width="17.109375" style="86" customWidth="1"/>
    <col min="1544" max="1792" width="11.44140625" style="86"/>
    <col min="1793" max="1793" width="5" style="86" customWidth="1"/>
    <col min="1794" max="1794" width="11.44140625" style="86"/>
    <col min="1795" max="1795" width="14.109375" style="86" customWidth="1"/>
    <col min="1796" max="1796" width="16.33203125" style="86" customWidth="1"/>
    <col min="1797" max="1797" width="13.33203125" style="86" customWidth="1"/>
    <col min="1798" max="1798" width="11.44140625" style="86"/>
    <col min="1799" max="1799" width="17.109375" style="86" customWidth="1"/>
    <col min="1800" max="2048" width="11.44140625" style="86"/>
    <col min="2049" max="2049" width="5" style="86" customWidth="1"/>
    <col min="2050" max="2050" width="11.44140625" style="86"/>
    <col min="2051" max="2051" width="14.109375" style="86" customWidth="1"/>
    <col min="2052" max="2052" width="16.33203125" style="86" customWidth="1"/>
    <col min="2053" max="2053" width="13.33203125" style="86" customWidth="1"/>
    <col min="2054" max="2054" width="11.44140625" style="86"/>
    <col min="2055" max="2055" width="17.109375" style="86" customWidth="1"/>
    <col min="2056" max="2304" width="11.44140625" style="86"/>
    <col min="2305" max="2305" width="5" style="86" customWidth="1"/>
    <col min="2306" max="2306" width="11.44140625" style="86"/>
    <col min="2307" max="2307" width="14.109375" style="86" customWidth="1"/>
    <col min="2308" max="2308" width="16.33203125" style="86" customWidth="1"/>
    <col min="2309" max="2309" width="13.33203125" style="86" customWidth="1"/>
    <col min="2310" max="2310" width="11.44140625" style="86"/>
    <col min="2311" max="2311" width="17.109375" style="86" customWidth="1"/>
    <col min="2312" max="2560" width="11.44140625" style="86"/>
    <col min="2561" max="2561" width="5" style="86" customWidth="1"/>
    <col min="2562" max="2562" width="11.44140625" style="86"/>
    <col min="2563" max="2563" width="14.109375" style="86" customWidth="1"/>
    <col min="2564" max="2564" width="16.33203125" style="86" customWidth="1"/>
    <col min="2565" max="2565" width="13.33203125" style="86" customWidth="1"/>
    <col min="2566" max="2566" width="11.44140625" style="86"/>
    <col min="2567" max="2567" width="17.109375" style="86" customWidth="1"/>
    <col min="2568" max="2816" width="11.44140625" style="86"/>
    <col min="2817" max="2817" width="5" style="86" customWidth="1"/>
    <col min="2818" max="2818" width="11.44140625" style="86"/>
    <col min="2819" max="2819" width="14.109375" style="86" customWidth="1"/>
    <col min="2820" max="2820" width="16.33203125" style="86" customWidth="1"/>
    <col min="2821" max="2821" width="13.33203125" style="86" customWidth="1"/>
    <col min="2822" max="2822" width="11.44140625" style="86"/>
    <col min="2823" max="2823" width="17.109375" style="86" customWidth="1"/>
    <col min="2824" max="3072" width="11.44140625" style="86"/>
    <col min="3073" max="3073" width="5" style="86" customWidth="1"/>
    <col min="3074" max="3074" width="11.44140625" style="86"/>
    <col min="3075" max="3075" width="14.109375" style="86" customWidth="1"/>
    <col min="3076" max="3076" width="16.33203125" style="86" customWidth="1"/>
    <col min="3077" max="3077" width="13.33203125" style="86" customWidth="1"/>
    <col min="3078" max="3078" width="11.44140625" style="86"/>
    <col min="3079" max="3079" width="17.109375" style="86" customWidth="1"/>
    <col min="3080" max="3328" width="11.44140625" style="86"/>
    <col min="3329" max="3329" width="5" style="86" customWidth="1"/>
    <col min="3330" max="3330" width="11.44140625" style="86"/>
    <col min="3331" max="3331" width="14.109375" style="86" customWidth="1"/>
    <col min="3332" max="3332" width="16.33203125" style="86" customWidth="1"/>
    <col min="3333" max="3333" width="13.33203125" style="86" customWidth="1"/>
    <col min="3334" max="3334" width="11.44140625" style="86"/>
    <col min="3335" max="3335" width="17.109375" style="86" customWidth="1"/>
    <col min="3336" max="3584" width="11.44140625" style="86"/>
    <col min="3585" max="3585" width="5" style="86" customWidth="1"/>
    <col min="3586" max="3586" width="11.44140625" style="86"/>
    <col min="3587" max="3587" width="14.109375" style="86" customWidth="1"/>
    <col min="3588" max="3588" width="16.33203125" style="86" customWidth="1"/>
    <col min="3589" max="3589" width="13.33203125" style="86" customWidth="1"/>
    <col min="3590" max="3590" width="11.44140625" style="86"/>
    <col min="3591" max="3591" width="17.109375" style="86" customWidth="1"/>
    <col min="3592" max="3840" width="11.44140625" style="86"/>
    <col min="3841" max="3841" width="5" style="86" customWidth="1"/>
    <col min="3842" max="3842" width="11.44140625" style="86"/>
    <col min="3843" max="3843" width="14.109375" style="86" customWidth="1"/>
    <col min="3844" max="3844" width="16.33203125" style="86" customWidth="1"/>
    <col min="3845" max="3845" width="13.33203125" style="86" customWidth="1"/>
    <col min="3846" max="3846" width="11.44140625" style="86"/>
    <col min="3847" max="3847" width="17.109375" style="86" customWidth="1"/>
    <col min="3848" max="4096" width="11.44140625" style="86"/>
    <col min="4097" max="4097" width="5" style="86" customWidth="1"/>
    <col min="4098" max="4098" width="11.44140625" style="86"/>
    <col min="4099" max="4099" width="14.109375" style="86" customWidth="1"/>
    <col min="4100" max="4100" width="16.33203125" style="86" customWidth="1"/>
    <col min="4101" max="4101" width="13.33203125" style="86" customWidth="1"/>
    <col min="4102" max="4102" width="11.44140625" style="86"/>
    <col min="4103" max="4103" width="17.109375" style="86" customWidth="1"/>
    <col min="4104" max="4352" width="11.44140625" style="86"/>
    <col min="4353" max="4353" width="5" style="86" customWidth="1"/>
    <col min="4354" max="4354" width="11.44140625" style="86"/>
    <col min="4355" max="4355" width="14.109375" style="86" customWidth="1"/>
    <col min="4356" max="4356" width="16.33203125" style="86" customWidth="1"/>
    <col min="4357" max="4357" width="13.33203125" style="86" customWidth="1"/>
    <col min="4358" max="4358" width="11.44140625" style="86"/>
    <col min="4359" max="4359" width="17.109375" style="86" customWidth="1"/>
    <col min="4360" max="4608" width="11.44140625" style="86"/>
    <col min="4609" max="4609" width="5" style="86" customWidth="1"/>
    <col min="4610" max="4610" width="11.44140625" style="86"/>
    <col min="4611" max="4611" width="14.109375" style="86" customWidth="1"/>
    <col min="4612" max="4612" width="16.33203125" style="86" customWidth="1"/>
    <col min="4613" max="4613" width="13.33203125" style="86" customWidth="1"/>
    <col min="4614" max="4614" width="11.44140625" style="86"/>
    <col min="4615" max="4615" width="17.109375" style="86" customWidth="1"/>
    <col min="4616" max="4864" width="11.44140625" style="86"/>
    <col min="4865" max="4865" width="5" style="86" customWidth="1"/>
    <col min="4866" max="4866" width="11.44140625" style="86"/>
    <col min="4867" max="4867" width="14.109375" style="86" customWidth="1"/>
    <col min="4868" max="4868" width="16.33203125" style="86" customWidth="1"/>
    <col min="4869" max="4869" width="13.33203125" style="86" customWidth="1"/>
    <col min="4870" max="4870" width="11.44140625" style="86"/>
    <col min="4871" max="4871" width="17.109375" style="86" customWidth="1"/>
    <col min="4872" max="5120" width="11.44140625" style="86"/>
    <col min="5121" max="5121" width="5" style="86" customWidth="1"/>
    <col min="5122" max="5122" width="11.44140625" style="86"/>
    <col min="5123" max="5123" width="14.109375" style="86" customWidth="1"/>
    <col min="5124" max="5124" width="16.33203125" style="86" customWidth="1"/>
    <col min="5125" max="5125" width="13.33203125" style="86" customWidth="1"/>
    <col min="5126" max="5126" width="11.44140625" style="86"/>
    <col min="5127" max="5127" width="17.109375" style="86" customWidth="1"/>
    <col min="5128" max="5376" width="11.44140625" style="86"/>
    <col min="5377" max="5377" width="5" style="86" customWidth="1"/>
    <col min="5378" max="5378" width="11.44140625" style="86"/>
    <col min="5379" max="5379" width="14.109375" style="86" customWidth="1"/>
    <col min="5380" max="5380" width="16.33203125" style="86" customWidth="1"/>
    <col min="5381" max="5381" width="13.33203125" style="86" customWidth="1"/>
    <col min="5382" max="5382" width="11.44140625" style="86"/>
    <col min="5383" max="5383" width="17.109375" style="86" customWidth="1"/>
    <col min="5384" max="5632" width="11.44140625" style="86"/>
    <col min="5633" max="5633" width="5" style="86" customWidth="1"/>
    <col min="5634" max="5634" width="11.44140625" style="86"/>
    <col min="5635" max="5635" width="14.109375" style="86" customWidth="1"/>
    <col min="5636" max="5636" width="16.33203125" style="86" customWidth="1"/>
    <col min="5637" max="5637" width="13.33203125" style="86" customWidth="1"/>
    <col min="5638" max="5638" width="11.44140625" style="86"/>
    <col min="5639" max="5639" width="17.109375" style="86" customWidth="1"/>
    <col min="5640" max="5888" width="11.44140625" style="86"/>
    <col min="5889" max="5889" width="5" style="86" customWidth="1"/>
    <col min="5890" max="5890" width="11.44140625" style="86"/>
    <col min="5891" max="5891" width="14.109375" style="86" customWidth="1"/>
    <col min="5892" max="5892" width="16.33203125" style="86" customWidth="1"/>
    <col min="5893" max="5893" width="13.33203125" style="86" customWidth="1"/>
    <col min="5894" max="5894" width="11.44140625" style="86"/>
    <col min="5895" max="5895" width="17.109375" style="86" customWidth="1"/>
    <col min="5896" max="6144" width="11.44140625" style="86"/>
    <col min="6145" max="6145" width="5" style="86" customWidth="1"/>
    <col min="6146" max="6146" width="11.44140625" style="86"/>
    <col min="6147" max="6147" width="14.109375" style="86" customWidth="1"/>
    <col min="6148" max="6148" width="16.33203125" style="86" customWidth="1"/>
    <col min="6149" max="6149" width="13.33203125" style="86" customWidth="1"/>
    <col min="6150" max="6150" width="11.44140625" style="86"/>
    <col min="6151" max="6151" width="17.109375" style="86" customWidth="1"/>
    <col min="6152" max="6400" width="11.44140625" style="86"/>
    <col min="6401" max="6401" width="5" style="86" customWidth="1"/>
    <col min="6402" max="6402" width="11.44140625" style="86"/>
    <col min="6403" max="6403" width="14.109375" style="86" customWidth="1"/>
    <col min="6404" max="6404" width="16.33203125" style="86" customWidth="1"/>
    <col min="6405" max="6405" width="13.33203125" style="86" customWidth="1"/>
    <col min="6406" max="6406" width="11.44140625" style="86"/>
    <col min="6407" max="6407" width="17.109375" style="86" customWidth="1"/>
    <col min="6408" max="6656" width="11.44140625" style="86"/>
    <col min="6657" max="6657" width="5" style="86" customWidth="1"/>
    <col min="6658" max="6658" width="11.44140625" style="86"/>
    <col min="6659" max="6659" width="14.109375" style="86" customWidth="1"/>
    <col min="6660" max="6660" width="16.33203125" style="86" customWidth="1"/>
    <col min="6661" max="6661" width="13.33203125" style="86" customWidth="1"/>
    <col min="6662" max="6662" width="11.44140625" style="86"/>
    <col min="6663" max="6663" width="17.109375" style="86" customWidth="1"/>
    <col min="6664" max="6912" width="11.44140625" style="86"/>
    <col min="6913" max="6913" width="5" style="86" customWidth="1"/>
    <col min="6914" max="6914" width="11.44140625" style="86"/>
    <col min="6915" max="6915" width="14.109375" style="86" customWidth="1"/>
    <col min="6916" max="6916" width="16.33203125" style="86" customWidth="1"/>
    <col min="6917" max="6917" width="13.33203125" style="86" customWidth="1"/>
    <col min="6918" max="6918" width="11.44140625" style="86"/>
    <col min="6919" max="6919" width="17.109375" style="86" customWidth="1"/>
    <col min="6920" max="7168" width="11.44140625" style="86"/>
    <col min="7169" max="7169" width="5" style="86" customWidth="1"/>
    <col min="7170" max="7170" width="11.44140625" style="86"/>
    <col min="7171" max="7171" width="14.109375" style="86" customWidth="1"/>
    <col min="7172" max="7172" width="16.33203125" style="86" customWidth="1"/>
    <col min="7173" max="7173" width="13.33203125" style="86" customWidth="1"/>
    <col min="7174" max="7174" width="11.44140625" style="86"/>
    <col min="7175" max="7175" width="17.109375" style="86" customWidth="1"/>
    <col min="7176" max="7424" width="11.44140625" style="86"/>
    <col min="7425" max="7425" width="5" style="86" customWidth="1"/>
    <col min="7426" max="7426" width="11.44140625" style="86"/>
    <col min="7427" max="7427" width="14.109375" style="86" customWidth="1"/>
    <col min="7428" max="7428" width="16.33203125" style="86" customWidth="1"/>
    <col min="7429" max="7429" width="13.33203125" style="86" customWidth="1"/>
    <col min="7430" max="7430" width="11.44140625" style="86"/>
    <col min="7431" max="7431" width="17.109375" style="86" customWidth="1"/>
    <col min="7432" max="7680" width="11.44140625" style="86"/>
    <col min="7681" max="7681" width="5" style="86" customWidth="1"/>
    <col min="7682" max="7682" width="11.44140625" style="86"/>
    <col min="7683" max="7683" width="14.109375" style="86" customWidth="1"/>
    <col min="7684" max="7684" width="16.33203125" style="86" customWidth="1"/>
    <col min="7685" max="7685" width="13.33203125" style="86" customWidth="1"/>
    <col min="7686" max="7686" width="11.44140625" style="86"/>
    <col min="7687" max="7687" width="17.109375" style="86" customWidth="1"/>
    <col min="7688" max="7936" width="11.44140625" style="86"/>
    <col min="7937" max="7937" width="5" style="86" customWidth="1"/>
    <col min="7938" max="7938" width="11.44140625" style="86"/>
    <col min="7939" max="7939" width="14.109375" style="86" customWidth="1"/>
    <col min="7940" max="7940" width="16.33203125" style="86" customWidth="1"/>
    <col min="7941" max="7941" width="13.33203125" style="86" customWidth="1"/>
    <col min="7942" max="7942" width="11.44140625" style="86"/>
    <col min="7943" max="7943" width="17.109375" style="86" customWidth="1"/>
    <col min="7944" max="8192" width="11.44140625" style="86"/>
    <col min="8193" max="8193" width="5" style="86" customWidth="1"/>
    <col min="8194" max="8194" width="11.44140625" style="86"/>
    <col min="8195" max="8195" width="14.109375" style="86" customWidth="1"/>
    <col min="8196" max="8196" width="16.33203125" style="86" customWidth="1"/>
    <col min="8197" max="8197" width="13.33203125" style="86" customWidth="1"/>
    <col min="8198" max="8198" width="11.44140625" style="86"/>
    <col min="8199" max="8199" width="17.109375" style="86" customWidth="1"/>
    <col min="8200" max="8448" width="11.44140625" style="86"/>
    <col min="8449" max="8449" width="5" style="86" customWidth="1"/>
    <col min="8450" max="8450" width="11.44140625" style="86"/>
    <col min="8451" max="8451" width="14.109375" style="86" customWidth="1"/>
    <col min="8452" max="8452" width="16.33203125" style="86" customWidth="1"/>
    <col min="8453" max="8453" width="13.33203125" style="86" customWidth="1"/>
    <col min="8454" max="8454" width="11.44140625" style="86"/>
    <col min="8455" max="8455" width="17.109375" style="86" customWidth="1"/>
    <col min="8456" max="8704" width="11.44140625" style="86"/>
    <col min="8705" max="8705" width="5" style="86" customWidth="1"/>
    <col min="8706" max="8706" width="11.44140625" style="86"/>
    <col min="8707" max="8707" width="14.109375" style="86" customWidth="1"/>
    <col min="8708" max="8708" width="16.33203125" style="86" customWidth="1"/>
    <col min="8709" max="8709" width="13.33203125" style="86" customWidth="1"/>
    <col min="8710" max="8710" width="11.44140625" style="86"/>
    <col min="8711" max="8711" width="17.109375" style="86" customWidth="1"/>
    <col min="8712" max="8960" width="11.44140625" style="86"/>
    <col min="8961" max="8961" width="5" style="86" customWidth="1"/>
    <col min="8962" max="8962" width="11.44140625" style="86"/>
    <col min="8963" max="8963" width="14.109375" style="86" customWidth="1"/>
    <col min="8964" max="8964" width="16.33203125" style="86" customWidth="1"/>
    <col min="8965" max="8965" width="13.33203125" style="86" customWidth="1"/>
    <col min="8966" max="8966" width="11.44140625" style="86"/>
    <col min="8967" max="8967" width="17.109375" style="86" customWidth="1"/>
    <col min="8968" max="9216" width="11.44140625" style="86"/>
    <col min="9217" max="9217" width="5" style="86" customWidth="1"/>
    <col min="9218" max="9218" width="11.44140625" style="86"/>
    <col min="9219" max="9219" width="14.109375" style="86" customWidth="1"/>
    <col min="9220" max="9220" width="16.33203125" style="86" customWidth="1"/>
    <col min="9221" max="9221" width="13.33203125" style="86" customWidth="1"/>
    <col min="9222" max="9222" width="11.44140625" style="86"/>
    <col min="9223" max="9223" width="17.109375" style="86" customWidth="1"/>
    <col min="9224" max="9472" width="11.44140625" style="86"/>
    <col min="9473" max="9473" width="5" style="86" customWidth="1"/>
    <col min="9474" max="9474" width="11.44140625" style="86"/>
    <col min="9475" max="9475" width="14.109375" style="86" customWidth="1"/>
    <col min="9476" max="9476" width="16.33203125" style="86" customWidth="1"/>
    <col min="9477" max="9477" width="13.33203125" style="86" customWidth="1"/>
    <col min="9478" max="9478" width="11.44140625" style="86"/>
    <col min="9479" max="9479" width="17.109375" style="86" customWidth="1"/>
    <col min="9480" max="9728" width="11.44140625" style="86"/>
    <col min="9729" max="9729" width="5" style="86" customWidth="1"/>
    <col min="9730" max="9730" width="11.44140625" style="86"/>
    <col min="9731" max="9731" width="14.109375" style="86" customWidth="1"/>
    <col min="9732" max="9732" width="16.33203125" style="86" customWidth="1"/>
    <col min="9733" max="9733" width="13.33203125" style="86" customWidth="1"/>
    <col min="9734" max="9734" width="11.44140625" style="86"/>
    <col min="9735" max="9735" width="17.109375" style="86" customWidth="1"/>
    <col min="9736" max="9984" width="11.44140625" style="86"/>
    <col min="9985" max="9985" width="5" style="86" customWidth="1"/>
    <col min="9986" max="9986" width="11.44140625" style="86"/>
    <col min="9987" max="9987" width="14.109375" style="86" customWidth="1"/>
    <col min="9988" max="9988" width="16.33203125" style="86" customWidth="1"/>
    <col min="9989" max="9989" width="13.33203125" style="86" customWidth="1"/>
    <col min="9990" max="9990" width="11.44140625" style="86"/>
    <col min="9991" max="9991" width="17.109375" style="86" customWidth="1"/>
    <col min="9992" max="10240" width="11.44140625" style="86"/>
    <col min="10241" max="10241" width="5" style="86" customWidth="1"/>
    <col min="10242" max="10242" width="11.44140625" style="86"/>
    <col min="10243" max="10243" width="14.109375" style="86" customWidth="1"/>
    <col min="10244" max="10244" width="16.33203125" style="86" customWidth="1"/>
    <col min="10245" max="10245" width="13.33203125" style="86" customWidth="1"/>
    <col min="10246" max="10246" width="11.44140625" style="86"/>
    <col min="10247" max="10247" width="17.109375" style="86" customWidth="1"/>
    <col min="10248" max="10496" width="11.44140625" style="86"/>
    <col min="10497" max="10497" width="5" style="86" customWidth="1"/>
    <col min="10498" max="10498" width="11.44140625" style="86"/>
    <col min="10499" max="10499" width="14.109375" style="86" customWidth="1"/>
    <col min="10500" max="10500" width="16.33203125" style="86" customWidth="1"/>
    <col min="10501" max="10501" width="13.33203125" style="86" customWidth="1"/>
    <col min="10502" max="10502" width="11.44140625" style="86"/>
    <col min="10503" max="10503" width="17.109375" style="86" customWidth="1"/>
    <col min="10504" max="10752" width="11.44140625" style="86"/>
    <col min="10753" max="10753" width="5" style="86" customWidth="1"/>
    <col min="10754" max="10754" width="11.44140625" style="86"/>
    <col min="10755" max="10755" width="14.109375" style="86" customWidth="1"/>
    <col min="10756" max="10756" width="16.33203125" style="86" customWidth="1"/>
    <col min="10757" max="10757" width="13.33203125" style="86" customWidth="1"/>
    <col min="10758" max="10758" width="11.44140625" style="86"/>
    <col min="10759" max="10759" width="17.109375" style="86" customWidth="1"/>
    <col min="10760" max="11008" width="11.44140625" style="86"/>
    <col min="11009" max="11009" width="5" style="86" customWidth="1"/>
    <col min="11010" max="11010" width="11.44140625" style="86"/>
    <col min="11011" max="11011" width="14.109375" style="86" customWidth="1"/>
    <col min="11012" max="11012" width="16.33203125" style="86" customWidth="1"/>
    <col min="11013" max="11013" width="13.33203125" style="86" customWidth="1"/>
    <col min="11014" max="11014" width="11.44140625" style="86"/>
    <col min="11015" max="11015" width="17.109375" style="86" customWidth="1"/>
    <col min="11016" max="11264" width="11.44140625" style="86"/>
    <col min="11265" max="11265" width="5" style="86" customWidth="1"/>
    <col min="11266" max="11266" width="11.44140625" style="86"/>
    <col min="11267" max="11267" width="14.109375" style="86" customWidth="1"/>
    <col min="11268" max="11268" width="16.33203125" style="86" customWidth="1"/>
    <col min="11269" max="11269" width="13.33203125" style="86" customWidth="1"/>
    <col min="11270" max="11270" width="11.44140625" style="86"/>
    <col min="11271" max="11271" width="17.109375" style="86" customWidth="1"/>
    <col min="11272" max="11520" width="11.44140625" style="86"/>
    <col min="11521" max="11521" width="5" style="86" customWidth="1"/>
    <col min="11522" max="11522" width="11.44140625" style="86"/>
    <col min="11523" max="11523" width="14.109375" style="86" customWidth="1"/>
    <col min="11524" max="11524" width="16.33203125" style="86" customWidth="1"/>
    <col min="11525" max="11525" width="13.33203125" style="86" customWidth="1"/>
    <col min="11526" max="11526" width="11.44140625" style="86"/>
    <col min="11527" max="11527" width="17.109375" style="86" customWidth="1"/>
    <col min="11528" max="11776" width="11.44140625" style="86"/>
    <col min="11777" max="11777" width="5" style="86" customWidth="1"/>
    <col min="11778" max="11778" width="11.44140625" style="86"/>
    <col min="11779" max="11779" width="14.109375" style="86" customWidth="1"/>
    <col min="11780" max="11780" width="16.33203125" style="86" customWidth="1"/>
    <col min="11781" max="11781" width="13.33203125" style="86" customWidth="1"/>
    <col min="11782" max="11782" width="11.44140625" style="86"/>
    <col min="11783" max="11783" width="17.109375" style="86" customWidth="1"/>
    <col min="11784" max="12032" width="11.44140625" style="86"/>
    <col min="12033" max="12033" width="5" style="86" customWidth="1"/>
    <col min="12034" max="12034" width="11.44140625" style="86"/>
    <col min="12035" max="12035" width="14.109375" style="86" customWidth="1"/>
    <col min="12036" max="12036" width="16.33203125" style="86" customWidth="1"/>
    <col min="12037" max="12037" width="13.33203125" style="86" customWidth="1"/>
    <col min="12038" max="12038" width="11.44140625" style="86"/>
    <col min="12039" max="12039" width="17.109375" style="86" customWidth="1"/>
    <col min="12040" max="12288" width="11.44140625" style="86"/>
    <col min="12289" max="12289" width="5" style="86" customWidth="1"/>
    <col min="12290" max="12290" width="11.44140625" style="86"/>
    <col min="12291" max="12291" width="14.109375" style="86" customWidth="1"/>
    <col min="12292" max="12292" width="16.33203125" style="86" customWidth="1"/>
    <col min="12293" max="12293" width="13.33203125" style="86" customWidth="1"/>
    <col min="12294" max="12294" width="11.44140625" style="86"/>
    <col min="12295" max="12295" width="17.109375" style="86" customWidth="1"/>
    <col min="12296" max="12544" width="11.44140625" style="86"/>
    <col min="12545" max="12545" width="5" style="86" customWidth="1"/>
    <col min="12546" max="12546" width="11.44140625" style="86"/>
    <col min="12547" max="12547" width="14.109375" style="86" customWidth="1"/>
    <col min="12548" max="12548" width="16.33203125" style="86" customWidth="1"/>
    <col min="12549" max="12549" width="13.33203125" style="86" customWidth="1"/>
    <col min="12550" max="12550" width="11.44140625" style="86"/>
    <col min="12551" max="12551" width="17.109375" style="86" customWidth="1"/>
    <col min="12552" max="12800" width="11.44140625" style="86"/>
    <col min="12801" max="12801" width="5" style="86" customWidth="1"/>
    <col min="12802" max="12802" width="11.44140625" style="86"/>
    <col min="12803" max="12803" width="14.109375" style="86" customWidth="1"/>
    <col min="12804" max="12804" width="16.33203125" style="86" customWidth="1"/>
    <col min="12805" max="12805" width="13.33203125" style="86" customWidth="1"/>
    <col min="12806" max="12806" width="11.44140625" style="86"/>
    <col min="12807" max="12807" width="17.109375" style="86" customWidth="1"/>
    <col min="12808" max="13056" width="11.44140625" style="86"/>
    <col min="13057" max="13057" width="5" style="86" customWidth="1"/>
    <col min="13058" max="13058" width="11.44140625" style="86"/>
    <col min="13059" max="13059" width="14.109375" style="86" customWidth="1"/>
    <col min="13060" max="13060" width="16.33203125" style="86" customWidth="1"/>
    <col min="13061" max="13061" width="13.33203125" style="86" customWidth="1"/>
    <col min="13062" max="13062" width="11.44140625" style="86"/>
    <col min="13063" max="13063" width="17.109375" style="86" customWidth="1"/>
    <col min="13064" max="13312" width="11.44140625" style="86"/>
    <col min="13313" max="13313" width="5" style="86" customWidth="1"/>
    <col min="13314" max="13314" width="11.44140625" style="86"/>
    <col min="13315" max="13315" width="14.109375" style="86" customWidth="1"/>
    <col min="13316" max="13316" width="16.33203125" style="86" customWidth="1"/>
    <col min="13317" max="13317" width="13.33203125" style="86" customWidth="1"/>
    <col min="13318" max="13318" width="11.44140625" style="86"/>
    <col min="13319" max="13319" width="17.109375" style="86" customWidth="1"/>
    <col min="13320" max="13568" width="11.44140625" style="86"/>
    <col min="13569" max="13569" width="5" style="86" customWidth="1"/>
    <col min="13570" max="13570" width="11.44140625" style="86"/>
    <col min="13571" max="13571" width="14.109375" style="86" customWidth="1"/>
    <col min="13572" max="13572" width="16.33203125" style="86" customWidth="1"/>
    <col min="13573" max="13573" width="13.33203125" style="86" customWidth="1"/>
    <col min="13574" max="13574" width="11.44140625" style="86"/>
    <col min="13575" max="13575" width="17.109375" style="86" customWidth="1"/>
    <col min="13576" max="13824" width="11.44140625" style="86"/>
    <col min="13825" max="13825" width="5" style="86" customWidth="1"/>
    <col min="13826" max="13826" width="11.44140625" style="86"/>
    <col min="13827" max="13827" width="14.109375" style="86" customWidth="1"/>
    <col min="13828" max="13828" width="16.33203125" style="86" customWidth="1"/>
    <col min="13829" max="13829" width="13.33203125" style="86" customWidth="1"/>
    <col min="13830" max="13830" width="11.44140625" style="86"/>
    <col min="13831" max="13831" width="17.109375" style="86" customWidth="1"/>
    <col min="13832" max="14080" width="11.44140625" style="86"/>
    <col min="14081" max="14081" width="5" style="86" customWidth="1"/>
    <col min="14082" max="14082" width="11.44140625" style="86"/>
    <col min="14083" max="14083" width="14.109375" style="86" customWidth="1"/>
    <col min="14084" max="14084" width="16.33203125" style="86" customWidth="1"/>
    <col min="14085" max="14085" width="13.33203125" style="86" customWidth="1"/>
    <col min="14086" max="14086" width="11.44140625" style="86"/>
    <col min="14087" max="14087" width="17.109375" style="86" customWidth="1"/>
    <col min="14088" max="14336" width="11.44140625" style="86"/>
    <col min="14337" max="14337" width="5" style="86" customWidth="1"/>
    <col min="14338" max="14338" width="11.44140625" style="86"/>
    <col min="14339" max="14339" width="14.109375" style="86" customWidth="1"/>
    <col min="14340" max="14340" width="16.33203125" style="86" customWidth="1"/>
    <col min="14341" max="14341" width="13.33203125" style="86" customWidth="1"/>
    <col min="14342" max="14342" width="11.44140625" style="86"/>
    <col min="14343" max="14343" width="17.109375" style="86" customWidth="1"/>
    <col min="14344" max="14592" width="11.44140625" style="86"/>
    <col min="14593" max="14593" width="5" style="86" customWidth="1"/>
    <col min="14594" max="14594" width="11.44140625" style="86"/>
    <col min="14595" max="14595" width="14.109375" style="86" customWidth="1"/>
    <col min="14596" max="14596" width="16.33203125" style="86" customWidth="1"/>
    <col min="14597" max="14597" width="13.33203125" style="86" customWidth="1"/>
    <col min="14598" max="14598" width="11.44140625" style="86"/>
    <col min="14599" max="14599" width="17.109375" style="86" customWidth="1"/>
    <col min="14600" max="14848" width="11.44140625" style="86"/>
    <col min="14849" max="14849" width="5" style="86" customWidth="1"/>
    <col min="14850" max="14850" width="11.44140625" style="86"/>
    <col min="14851" max="14851" width="14.109375" style="86" customWidth="1"/>
    <col min="14852" max="14852" width="16.33203125" style="86" customWidth="1"/>
    <col min="14853" max="14853" width="13.33203125" style="86" customWidth="1"/>
    <col min="14854" max="14854" width="11.44140625" style="86"/>
    <col min="14855" max="14855" width="17.109375" style="86" customWidth="1"/>
    <col min="14856" max="15104" width="11.44140625" style="86"/>
    <col min="15105" max="15105" width="5" style="86" customWidth="1"/>
    <col min="15106" max="15106" width="11.44140625" style="86"/>
    <col min="15107" max="15107" width="14.109375" style="86" customWidth="1"/>
    <col min="15108" max="15108" width="16.33203125" style="86" customWidth="1"/>
    <col min="15109" max="15109" width="13.33203125" style="86" customWidth="1"/>
    <col min="15110" max="15110" width="11.44140625" style="86"/>
    <col min="15111" max="15111" width="17.109375" style="86" customWidth="1"/>
    <col min="15112" max="15360" width="11.44140625" style="86"/>
    <col min="15361" max="15361" width="5" style="86" customWidth="1"/>
    <col min="15362" max="15362" width="11.44140625" style="86"/>
    <col min="15363" max="15363" width="14.109375" style="86" customWidth="1"/>
    <col min="15364" max="15364" width="16.33203125" style="86" customWidth="1"/>
    <col min="15365" max="15365" width="13.33203125" style="86" customWidth="1"/>
    <col min="15366" max="15366" width="11.44140625" style="86"/>
    <col min="15367" max="15367" width="17.109375" style="86" customWidth="1"/>
    <col min="15368" max="15616" width="11.44140625" style="86"/>
    <col min="15617" max="15617" width="5" style="86" customWidth="1"/>
    <col min="15618" max="15618" width="11.44140625" style="86"/>
    <col min="15619" max="15619" width="14.109375" style="86" customWidth="1"/>
    <col min="15620" max="15620" width="16.33203125" style="86" customWidth="1"/>
    <col min="15621" max="15621" width="13.33203125" style="86" customWidth="1"/>
    <col min="15622" max="15622" width="11.44140625" style="86"/>
    <col min="15623" max="15623" width="17.109375" style="86" customWidth="1"/>
    <col min="15624" max="15872" width="11.44140625" style="86"/>
    <col min="15873" max="15873" width="5" style="86" customWidth="1"/>
    <col min="15874" max="15874" width="11.44140625" style="86"/>
    <col min="15875" max="15875" width="14.109375" style="86" customWidth="1"/>
    <col min="15876" max="15876" width="16.33203125" style="86" customWidth="1"/>
    <col min="15877" max="15877" width="13.33203125" style="86" customWidth="1"/>
    <col min="15878" max="15878" width="11.44140625" style="86"/>
    <col min="15879" max="15879" width="17.109375" style="86" customWidth="1"/>
    <col min="15880" max="16128" width="11.44140625" style="86"/>
    <col min="16129" max="16129" width="5" style="86" customWidth="1"/>
    <col min="16130" max="16130" width="11.44140625" style="86"/>
    <col min="16131" max="16131" width="14.109375" style="86" customWidth="1"/>
    <col min="16132" max="16132" width="16.33203125" style="86" customWidth="1"/>
    <col min="16133" max="16133" width="13.33203125" style="86" customWidth="1"/>
    <col min="16134" max="16134" width="11.44140625" style="86"/>
    <col min="16135" max="16135" width="17.109375" style="86" customWidth="1"/>
    <col min="16136" max="16384" width="11.44140625" style="86"/>
  </cols>
  <sheetData>
    <row r="1" spans="2:13" ht="19.95" customHeight="1" x14ac:dyDescent="0.25">
      <c r="B1" s="619" t="s">
        <v>414</v>
      </c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</row>
    <row r="3" spans="2:13" ht="14.4" customHeight="1" x14ac:dyDescent="0.25">
      <c r="B3" s="622" t="s">
        <v>184</v>
      </c>
      <c r="C3" s="623"/>
      <c r="D3" s="624"/>
      <c r="E3" s="88"/>
    </row>
    <row r="4" spans="2:13" x14ac:dyDescent="0.25">
      <c r="B4" s="625"/>
      <c r="C4" s="626"/>
      <c r="D4" s="627"/>
      <c r="E4" s="88"/>
    </row>
    <row r="5" spans="2:13" x14ac:dyDescent="0.25">
      <c r="B5" s="139"/>
      <c r="C5" s="62" t="s">
        <v>23</v>
      </c>
      <c r="D5" s="140" t="s">
        <v>200</v>
      </c>
      <c r="E5" s="88"/>
    </row>
    <row r="6" spans="2:13" x14ac:dyDescent="0.25">
      <c r="B6" s="100" t="s">
        <v>40</v>
      </c>
      <c r="C6" s="88"/>
      <c r="D6" s="103">
        <v>250000</v>
      </c>
      <c r="E6" s="88"/>
    </row>
    <row r="7" spans="2:13" x14ac:dyDescent="0.25">
      <c r="B7" s="100" t="s">
        <v>149</v>
      </c>
      <c r="C7" s="88"/>
      <c r="D7" s="103">
        <v>100</v>
      </c>
      <c r="E7" s="88"/>
    </row>
    <row r="8" spans="2:13" x14ac:dyDescent="0.25">
      <c r="B8" s="100" t="s">
        <v>185</v>
      </c>
      <c r="C8" s="88"/>
      <c r="D8" s="103">
        <v>50</v>
      </c>
      <c r="E8" s="88"/>
    </row>
    <row r="9" spans="2:13" x14ac:dyDescent="0.25">
      <c r="B9" s="100" t="s">
        <v>176</v>
      </c>
      <c r="C9" s="88"/>
      <c r="D9" s="103">
        <v>7000000</v>
      </c>
      <c r="E9" s="88"/>
    </row>
    <row r="10" spans="2:13" x14ac:dyDescent="0.25">
      <c r="B10" s="100" t="s">
        <v>170</v>
      </c>
      <c r="C10" s="88">
        <v>25000000</v>
      </c>
      <c r="D10" s="103"/>
      <c r="E10" s="88"/>
    </row>
    <row r="11" spans="2:13" x14ac:dyDescent="0.25">
      <c r="B11" s="100" t="s">
        <v>361</v>
      </c>
      <c r="C11" s="88"/>
      <c r="D11" s="138">
        <v>0.1</v>
      </c>
      <c r="E11" s="88"/>
    </row>
    <row r="12" spans="2:13" x14ac:dyDescent="0.25">
      <c r="B12" s="100" t="s">
        <v>153</v>
      </c>
      <c r="C12" s="88"/>
      <c r="D12" s="138">
        <v>0.35</v>
      </c>
      <c r="E12" s="88"/>
    </row>
    <row r="13" spans="2:13" ht="16.2" x14ac:dyDescent="0.35">
      <c r="B13" s="100" t="s">
        <v>411</v>
      </c>
      <c r="C13" s="92">
        <v>0.08</v>
      </c>
      <c r="D13" s="138"/>
      <c r="E13" s="88"/>
    </row>
    <row r="14" spans="2:13" x14ac:dyDescent="0.25">
      <c r="B14" s="100"/>
      <c r="C14" s="92">
        <v>0.9</v>
      </c>
      <c r="D14" s="103"/>
      <c r="E14" s="88"/>
    </row>
    <row r="15" spans="2:13" x14ac:dyDescent="0.25">
      <c r="B15" s="100" t="s">
        <v>201</v>
      </c>
      <c r="C15" s="92">
        <v>0.1</v>
      </c>
      <c r="D15" s="103"/>
      <c r="E15" s="88"/>
    </row>
    <row r="16" spans="2:13" ht="16.2" x14ac:dyDescent="0.35">
      <c r="B16" s="100" t="s">
        <v>412</v>
      </c>
      <c r="C16" s="92">
        <v>0.06</v>
      </c>
      <c r="D16" s="103"/>
      <c r="E16" s="88"/>
      <c r="G16" s="88"/>
      <c r="H16" s="88"/>
    </row>
    <row r="17" spans="2:13" ht="16.2" x14ac:dyDescent="0.35">
      <c r="B17" s="8" t="s">
        <v>402</v>
      </c>
      <c r="C17" s="92">
        <v>0.05</v>
      </c>
      <c r="D17" s="103"/>
      <c r="E17" s="88"/>
      <c r="G17" s="88"/>
      <c r="H17" s="88"/>
    </row>
    <row r="18" spans="2:13" x14ac:dyDescent="0.25">
      <c r="B18" s="104"/>
      <c r="C18" s="105"/>
      <c r="D18" s="106"/>
      <c r="E18" s="88"/>
      <c r="G18" s="88"/>
      <c r="H18" s="88"/>
    </row>
    <row r="20" spans="2:13" ht="3" customHeight="1" x14ac:dyDescent="0.25"/>
    <row r="21" spans="2:13" ht="6" customHeight="1" x14ac:dyDescent="0.25"/>
    <row r="22" spans="2:13" ht="15.6" customHeight="1" x14ac:dyDescent="0.35">
      <c r="B22" s="83" t="s">
        <v>404</v>
      </c>
      <c r="C22" s="142">
        <f>+C14*(C13/C16)</f>
        <v>1.2000000000000002</v>
      </c>
    </row>
    <row r="23" spans="2:13" ht="16.2" x14ac:dyDescent="0.35">
      <c r="B23" s="81" t="s">
        <v>408</v>
      </c>
      <c r="C23" s="141">
        <f>+C17+C22*(C15-C17)</f>
        <v>0.11000000000000001</v>
      </c>
    </row>
    <row r="26" spans="2:13" x14ac:dyDescent="0.25">
      <c r="B26" s="143" t="s">
        <v>168</v>
      </c>
      <c r="C26" s="71" t="s">
        <v>23</v>
      </c>
      <c r="D26" s="71" t="s">
        <v>0</v>
      </c>
      <c r="E26" s="71" t="s">
        <v>1</v>
      </c>
      <c r="F26" s="71" t="s">
        <v>2</v>
      </c>
      <c r="G26" s="71" t="s">
        <v>3</v>
      </c>
      <c r="H26" s="71" t="s">
        <v>38</v>
      </c>
      <c r="I26" s="71" t="s">
        <v>126</v>
      </c>
      <c r="J26" s="71" t="s">
        <v>127</v>
      </c>
      <c r="K26" s="71" t="s">
        <v>128</v>
      </c>
      <c r="L26" s="71" t="s">
        <v>129</v>
      </c>
      <c r="M26" s="72" t="s">
        <v>130</v>
      </c>
    </row>
    <row r="27" spans="2:13" x14ac:dyDescent="0.25">
      <c r="B27" s="100" t="s">
        <v>4</v>
      </c>
      <c r="C27" s="88"/>
      <c r="D27" s="88">
        <f>+$D$6*$D$7</f>
        <v>25000000</v>
      </c>
      <c r="E27" s="88">
        <f t="shared" ref="E27:M27" si="0">+$D$6*$D$7</f>
        <v>25000000</v>
      </c>
      <c r="F27" s="88">
        <f t="shared" si="0"/>
        <v>25000000</v>
      </c>
      <c r="G27" s="88">
        <f t="shared" si="0"/>
        <v>25000000</v>
      </c>
      <c r="H27" s="88">
        <f t="shared" si="0"/>
        <v>25000000</v>
      </c>
      <c r="I27" s="88">
        <f t="shared" si="0"/>
        <v>25000000</v>
      </c>
      <c r="J27" s="88">
        <f t="shared" si="0"/>
        <v>25000000</v>
      </c>
      <c r="K27" s="88">
        <f t="shared" si="0"/>
        <v>25000000</v>
      </c>
      <c r="L27" s="88">
        <f t="shared" si="0"/>
        <v>25000000</v>
      </c>
      <c r="M27" s="103">
        <f t="shared" si="0"/>
        <v>25000000</v>
      </c>
    </row>
    <row r="28" spans="2:13" x14ac:dyDescent="0.25">
      <c r="B28" s="100" t="s">
        <v>46</v>
      </c>
      <c r="C28" s="88"/>
      <c r="D28" s="88">
        <f>-$D$6*$D$8</f>
        <v>-12500000</v>
      </c>
      <c r="E28" s="88">
        <f t="shared" ref="E28:M28" si="1">-$D$6*$D$8</f>
        <v>-12500000</v>
      </c>
      <c r="F28" s="88">
        <f t="shared" si="1"/>
        <v>-12500000</v>
      </c>
      <c r="G28" s="88">
        <f t="shared" si="1"/>
        <v>-12500000</v>
      </c>
      <c r="H28" s="88">
        <f t="shared" si="1"/>
        <v>-12500000</v>
      </c>
      <c r="I28" s="88">
        <f t="shared" si="1"/>
        <v>-12500000</v>
      </c>
      <c r="J28" s="88">
        <f t="shared" si="1"/>
        <v>-12500000</v>
      </c>
      <c r="K28" s="88">
        <f t="shared" si="1"/>
        <v>-12500000</v>
      </c>
      <c r="L28" s="88">
        <f t="shared" si="1"/>
        <v>-12500000</v>
      </c>
      <c r="M28" s="103">
        <f t="shared" si="1"/>
        <v>-12500000</v>
      </c>
    </row>
    <row r="29" spans="2:13" x14ac:dyDescent="0.25">
      <c r="B29" s="100" t="s">
        <v>44</v>
      </c>
      <c r="C29" s="88"/>
      <c r="D29" s="88">
        <f>-$D$9</f>
        <v>-7000000</v>
      </c>
      <c r="E29" s="88">
        <f t="shared" ref="E29:M29" si="2">-$D$9</f>
        <v>-7000000</v>
      </c>
      <c r="F29" s="88">
        <f t="shared" si="2"/>
        <v>-7000000</v>
      </c>
      <c r="G29" s="88">
        <f t="shared" si="2"/>
        <v>-7000000</v>
      </c>
      <c r="H29" s="88">
        <f t="shared" si="2"/>
        <v>-7000000</v>
      </c>
      <c r="I29" s="88">
        <f t="shared" si="2"/>
        <v>-7000000</v>
      </c>
      <c r="J29" s="88">
        <f t="shared" si="2"/>
        <v>-7000000</v>
      </c>
      <c r="K29" s="88">
        <f t="shared" si="2"/>
        <v>-7000000</v>
      </c>
      <c r="L29" s="88">
        <f t="shared" si="2"/>
        <v>-7000000</v>
      </c>
      <c r="M29" s="103">
        <f t="shared" si="2"/>
        <v>-7000000</v>
      </c>
    </row>
    <row r="30" spans="2:13" x14ac:dyDescent="0.25">
      <c r="B30" s="100" t="s">
        <v>6</v>
      </c>
      <c r="C30" s="88"/>
      <c r="D30" s="88">
        <f>-$C$10*$D$11</f>
        <v>-2500000</v>
      </c>
      <c r="E30" s="88">
        <f t="shared" ref="E30:M30" si="3">-$C$10*$D$11</f>
        <v>-2500000</v>
      </c>
      <c r="F30" s="88">
        <f t="shared" si="3"/>
        <v>-2500000</v>
      </c>
      <c r="G30" s="88">
        <f t="shared" si="3"/>
        <v>-2500000</v>
      </c>
      <c r="H30" s="88">
        <f t="shared" si="3"/>
        <v>-2500000</v>
      </c>
      <c r="I30" s="88">
        <f t="shared" si="3"/>
        <v>-2500000</v>
      </c>
      <c r="J30" s="88">
        <f t="shared" si="3"/>
        <v>-2500000</v>
      </c>
      <c r="K30" s="88">
        <f t="shared" si="3"/>
        <v>-2500000</v>
      </c>
      <c r="L30" s="88">
        <f t="shared" si="3"/>
        <v>-2500000</v>
      </c>
      <c r="M30" s="103">
        <f t="shared" si="3"/>
        <v>-2500000</v>
      </c>
    </row>
    <row r="31" spans="2:13" x14ac:dyDescent="0.25">
      <c r="B31" s="100" t="s">
        <v>153</v>
      </c>
      <c r="C31" s="88"/>
      <c r="D31" s="88">
        <f>-SUM(D27:D30)*$D$12</f>
        <v>-1050000</v>
      </c>
      <c r="E31" s="88">
        <f t="shared" ref="E31:M31" si="4">-SUM(E27:E30)*$D$12</f>
        <v>-1050000</v>
      </c>
      <c r="F31" s="88">
        <f t="shared" si="4"/>
        <v>-1050000</v>
      </c>
      <c r="G31" s="88">
        <f t="shared" si="4"/>
        <v>-1050000</v>
      </c>
      <c r="H31" s="88">
        <f t="shared" si="4"/>
        <v>-1050000</v>
      </c>
      <c r="I31" s="88">
        <f t="shared" si="4"/>
        <v>-1050000</v>
      </c>
      <c r="J31" s="88">
        <f t="shared" si="4"/>
        <v>-1050000</v>
      </c>
      <c r="K31" s="88">
        <f t="shared" si="4"/>
        <v>-1050000</v>
      </c>
      <c r="L31" s="88">
        <f t="shared" si="4"/>
        <v>-1050000</v>
      </c>
      <c r="M31" s="103">
        <f t="shared" si="4"/>
        <v>-1050000</v>
      </c>
    </row>
    <row r="32" spans="2:13" x14ac:dyDescent="0.25">
      <c r="B32" s="137" t="s">
        <v>26</v>
      </c>
      <c r="C32" s="111"/>
      <c r="D32" s="111">
        <f>SUM(D27:D31)</f>
        <v>1950000</v>
      </c>
      <c r="E32" s="111">
        <f t="shared" ref="E32:M32" si="5">SUM(E27:E31)</f>
        <v>1950000</v>
      </c>
      <c r="F32" s="111">
        <f t="shared" si="5"/>
        <v>1950000</v>
      </c>
      <c r="G32" s="111">
        <f t="shared" si="5"/>
        <v>1950000</v>
      </c>
      <c r="H32" s="111">
        <f t="shared" si="5"/>
        <v>1950000</v>
      </c>
      <c r="I32" s="111">
        <f t="shared" si="5"/>
        <v>1950000</v>
      </c>
      <c r="J32" s="111">
        <f t="shared" si="5"/>
        <v>1950000</v>
      </c>
      <c r="K32" s="111">
        <f t="shared" si="5"/>
        <v>1950000</v>
      </c>
      <c r="L32" s="111">
        <f t="shared" si="5"/>
        <v>1950000</v>
      </c>
      <c r="M32" s="112">
        <f t="shared" si="5"/>
        <v>1950000</v>
      </c>
    </row>
    <row r="34" spans="2:13" x14ac:dyDescent="0.25">
      <c r="B34" s="143" t="s">
        <v>157</v>
      </c>
      <c r="C34" s="71" t="s">
        <v>23</v>
      </c>
      <c r="D34" s="71" t="s">
        <v>0</v>
      </c>
      <c r="E34" s="71" t="s">
        <v>1</v>
      </c>
      <c r="F34" s="71" t="s">
        <v>2</v>
      </c>
      <c r="G34" s="71" t="s">
        <v>3</v>
      </c>
      <c r="H34" s="71" t="s">
        <v>38</v>
      </c>
      <c r="I34" s="71" t="s">
        <v>126</v>
      </c>
      <c r="J34" s="71" t="s">
        <v>127</v>
      </c>
      <c r="K34" s="71" t="s">
        <v>128</v>
      </c>
      <c r="L34" s="71" t="s">
        <v>129</v>
      </c>
      <c r="M34" s="72" t="s">
        <v>130</v>
      </c>
    </row>
    <row r="35" spans="2:13" x14ac:dyDescent="0.25">
      <c r="B35" s="100" t="s">
        <v>9</v>
      </c>
      <c r="C35" s="88"/>
      <c r="D35" s="88">
        <f>+D32</f>
        <v>1950000</v>
      </c>
      <c r="E35" s="88">
        <f t="shared" ref="E35:M35" si="6">+E32</f>
        <v>1950000</v>
      </c>
      <c r="F35" s="88">
        <f t="shared" si="6"/>
        <v>1950000</v>
      </c>
      <c r="G35" s="88">
        <f t="shared" si="6"/>
        <v>1950000</v>
      </c>
      <c r="H35" s="88">
        <f t="shared" si="6"/>
        <v>1950000</v>
      </c>
      <c r="I35" s="88">
        <f t="shared" si="6"/>
        <v>1950000</v>
      </c>
      <c r="J35" s="88">
        <f t="shared" si="6"/>
        <v>1950000</v>
      </c>
      <c r="K35" s="88">
        <f t="shared" si="6"/>
        <v>1950000</v>
      </c>
      <c r="L35" s="88">
        <f t="shared" si="6"/>
        <v>1950000</v>
      </c>
      <c r="M35" s="103">
        <f t="shared" si="6"/>
        <v>1950000</v>
      </c>
    </row>
    <row r="36" spans="2:13" x14ac:dyDescent="0.25">
      <c r="B36" s="100" t="s">
        <v>179</v>
      </c>
      <c r="C36" s="88"/>
      <c r="D36" s="88">
        <f>-D30</f>
        <v>2500000</v>
      </c>
      <c r="E36" s="88">
        <f t="shared" ref="E36:M36" si="7">-E30</f>
        <v>2500000</v>
      </c>
      <c r="F36" s="88">
        <f t="shared" si="7"/>
        <v>2500000</v>
      </c>
      <c r="G36" s="88">
        <f t="shared" si="7"/>
        <v>2500000</v>
      </c>
      <c r="H36" s="88">
        <f t="shared" si="7"/>
        <v>2500000</v>
      </c>
      <c r="I36" s="88">
        <f t="shared" si="7"/>
        <v>2500000</v>
      </c>
      <c r="J36" s="88">
        <f t="shared" si="7"/>
        <v>2500000</v>
      </c>
      <c r="K36" s="88">
        <f t="shared" si="7"/>
        <v>2500000</v>
      </c>
      <c r="L36" s="88">
        <f t="shared" si="7"/>
        <v>2500000</v>
      </c>
      <c r="M36" s="103">
        <f t="shared" si="7"/>
        <v>2500000</v>
      </c>
    </row>
    <row r="37" spans="2:13" x14ac:dyDescent="0.25">
      <c r="B37" s="100" t="s">
        <v>27</v>
      </c>
      <c r="C37" s="88">
        <f>-C10</f>
        <v>-25000000</v>
      </c>
      <c r="D37" s="88"/>
      <c r="E37" s="88"/>
      <c r="F37" s="88"/>
      <c r="G37" s="88"/>
      <c r="H37" s="88"/>
      <c r="I37" s="88"/>
      <c r="J37" s="88"/>
      <c r="K37" s="88"/>
      <c r="L37" s="88"/>
      <c r="M37" s="103"/>
    </row>
    <row r="38" spans="2:13" x14ac:dyDescent="0.25">
      <c r="B38" s="137" t="s">
        <v>98</v>
      </c>
      <c r="C38" s="111">
        <f>SUM(C35:C37)</f>
        <v>-25000000</v>
      </c>
      <c r="D38" s="111">
        <f t="shared" ref="D38:M38" si="8">SUM(D35:D37)</f>
        <v>4450000</v>
      </c>
      <c r="E38" s="111">
        <f t="shared" si="8"/>
        <v>4450000</v>
      </c>
      <c r="F38" s="111">
        <f t="shared" si="8"/>
        <v>4450000</v>
      </c>
      <c r="G38" s="111">
        <f t="shared" si="8"/>
        <v>4450000</v>
      </c>
      <c r="H38" s="111">
        <f t="shared" si="8"/>
        <v>4450000</v>
      </c>
      <c r="I38" s="111">
        <f t="shared" si="8"/>
        <v>4450000</v>
      </c>
      <c r="J38" s="111">
        <f t="shared" si="8"/>
        <v>4450000</v>
      </c>
      <c r="K38" s="111">
        <f t="shared" si="8"/>
        <v>4450000</v>
      </c>
      <c r="L38" s="111">
        <f t="shared" si="8"/>
        <v>4450000</v>
      </c>
      <c r="M38" s="112">
        <f t="shared" si="8"/>
        <v>4450000</v>
      </c>
    </row>
    <row r="40" spans="2:13" x14ac:dyDescent="0.25">
      <c r="B40" s="127" t="s">
        <v>299</v>
      </c>
      <c r="C40" s="110">
        <f>+C38+NPV(C23,D38:M38)</f>
        <v>1207082.4495783634</v>
      </c>
    </row>
    <row r="41" spans="2:13" x14ac:dyDescent="0.25">
      <c r="C41" s="99"/>
    </row>
    <row r="42" spans="2:13" x14ac:dyDescent="0.25">
      <c r="B42" s="143" t="s">
        <v>40</v>
      </c>
      <c r="C42" s="567">
        <v>243693.40545960798</v>
      </c>
    </row>
    <row r="43" spans="2:13" ht="16.2" customHeight="1" x14ac:dyDescent="0.25">
      <c r="B43" s="143" t="s">
        <v>168</v>
      </c>
      <c r="C43" s="71" t="s">
        <v>23</v>
      </c>
      <c r="D43" s="71" t="s">
        <v>0</v>
      </c>
      <c r="E43" s="71" t="s">
        <v>1</v>
      </c>
      <c r="F43" s="71" t="s">
        <v>2</v>
      </c>
      <c r="G43" s="71" t="s">
        <v>3</v>
      </c>
      <c r="H43" s="71" t="s">
        <v>38</v>
      </c>
      <c r="I43" s="71" t="s">
        <v>126</v>
      </c>
      <c r="J43" s="71" t="s">
        <v>127</v>
      </c>
      <c r="K43" s="71" t="s">
        <v>128</v>
      </c>
      <c r="L43" s="71" t="s">
        <v>129</v>
      </c>
      <c r="M43" s="72" t="s">
        <v>130</v>
      </c>
    </row>
    <row r="44" spans="2:13" ht="15" customHeight="1" x14ac:dyDescent="0.25">
      <c r="B44" s="100" t="s">
        <v>4</v>
      </c>
      <c r="C44" s="88"/>
      <c r="D44" s="88">
        <f>+$C$42*$D$7</f>
        <v>24369340.545960799</v>
      </c>
      <c r="E44" s="88">
        <f t="shared" ref="E44:M44" si="9">+$C$42*$D$7</f>
        <v>24369340.545960799</v>
      </c>
      <c r="F44" s="88">
        <f t="shared" si="9"/>
        <v>24369340.545960799</v>
      </c>
      <c r="G44" s="88">
        <f t="shared" si="9"/>
        <v>24369340.545960799</v>
      </c>
      <c r="H44" s="88">
        <f t="shared" si="9"/>
        <v>24369340.545960799</v>
      </c>
      <c r="I44" s="88">
        <f t="shared" si="9"/>
        <v>24369340.545960799</v>
      </c>
      <c r="J44" s="88">
        <f t="shared" si="9"/>
        <v>24369340.545960799</v>
      </c>
      <c r="K44" s="88">
        <f t="shared" si="9"/>
        <v>24369340.545960799</v>
      </c>
      <c r="L44" s="88">
        <f t="shared" si="9"/>
        <v>24369340.545960799</v>
      </c>
      <c r="M44" s="88">
        <f t="shared" si="9"/>
        <v>24369340.545960799</v>
      </c>
    </row>
    <row r="45" spans="2:13" x14ac:dyDescent="0.25">
      <c r="B45" s="100" t="s">
        <v>46</v>
      </c>
      <c r="C45" s="88"/>
      <c r="D45" s="88">
        <f>-$C$42*$D$8</f>
        <v>-12184670.272980399</v>
      </c>
      <c r="E45" s="88">
        <f t="shared" ref="E45:M45" si="10">-$C$42*$D$8</f>
        <v>-12184670.272980399</v>
      </c>
      <c r="F45" s="88">
        <f t="shared" si="10"/>
        <v>-12184670.272980399</v>
      </c>
      <c r="G45" s="88">
        <f t="shared" si="10"/>
        <v>-12184670.272980399</v>
      </c>
      <c r="H45" s="88">
        <f t="shared" si="10"/>
        <v>-12184670.272980399</v>
      </c>
      <c r="I45" s="88">
        <f t="shared" si="10"/>
        <v>-12184670.272980399</v>
      </c>
      <c r="J45" s="88">
        <f t="shared" si="10"/>
        <v>-12184670.272980399</v>
      </c>
      <c r="K45" s="88">
        <f t="shared" si="10"/>
        <v>-12184670.272980399</v>
      </c>
      <c r="L45" s="88">
        <f t="shared" si="10"/>
        <v>-12184670.272980399</v>
      </c>
      <c r="M45" s="88">
        <f t="shared" si="10"/>
        <v>-12184670.272980399</v>
      </c>
    </row>
    <row r="46" spans="2:13" x14ac:dyDescent="0.25">
      <c r="B46" s="100" t="s">
        <v>44</v>
      </c>
      <c r="C46" s="88"/>
      <c r="D46" s="88">
        <f>-$D$9</f>
        <v>-7000000</v>
      </c>
      <c r="E46" s="88">
        <f t="shared" ref="E46:M46" si="11">-$D$9</f>
        <v>-7000000</v>
      </c>
      <c r="F46" s="88">
        <f t="shared" si="11"/>
        <v>-7000000</v>
      </c>
      <c r="G46" s="88">
        <f t="shared" si="11"/>
        <v>-7000000</v>
      </c>
      <c r="H46" s="88">
        <f t="shared" si="11"/>
        <v>-7000000</v>
      </c>
      <c r="I46" s="88">
        <f t="shared" si="11"/>
        <v>-7000000</v>
      </c>
      <c r="J46" s="88">
        <f t="shared" si="11"/>
        <v>-7000000</v>
      </c>
      <c r="K46" s="88">
        <f t="shared" si="11"/>
        <v>-7000000</v>
      </c>
      <c r="L46" s="88">
        <f t="shared" si="11"/>
        <v>-7000000</v>
      </c>
      <c r="M46" s="103">
        <f t="shared" si="11"/>
        <v>-7000000</v>
      </c>
    </row>
    <row r="47" spans="2:13" x14ac:dyDescent="0.25">
      <c r="B47" s="100" t="s">
        <v>6</v>
      </c>
      <c r="C47" s="88"/>
      <c r="D47" s="88">
        <f>-$C$10*$D$11</f>
        <v>-2500000</v>
      </c>
      <c r="E47" s="88">
        <f t="shared" ref="E47:M47" si="12">-$C$10*$D$11</f>
        <v>-2500000</v>
      </c>
      <c r="F47" s="88">
        <f t="shared" si="12"/>
        <v>-2500000</v>
      </c>
      <c r="G47" s="88">
        <f t="shared" si="12"/>
        <v>-2500000</v>
      </c>
      <c r="H47" s="88">
        <f t="shared" si="12"/>
        <v>-2500000</v>
      </c>
      <c r="I47" s="88">
        <f t="shared" si="12"/>
        <v>-2500000</v>
      </c>
      <c r="J47" s="88">
        <f t="shared" si="12"/>
        <v>-2500000</v>
      </c>
      <c r="K47" s="88">
        <f t="shared" si="12"/>
        <v>-2500000</v>
      </c>
      <c r="L47" s="88">
        <f t="shared" si="12"/>
        <v>-2500000</v>
      </c>
      <c r="M47" s="103">
        <f t="shared" si="12"/>
        <v>-2500000</v>
      </c>
    </row>
    <row r="48" spans="2:13" ht="18.600000000000001" customHeight="1" x14ac:dyDescent="0.25">
      <c r="B48" s="100" t="s">
        <v>153</v>
      </c>
      <c r="C48" s="88"/>
      <c r="D48" s="88">
        <f>-SUM(D44:D47)*$D$12</f>
        <v>-939634.59554313973</v>
      </c>
      <c r="E48" s="88">
        <f t="shared" ref="E48:M48" si="13">-SUM(E44:E47)*$D$12</f>
        <v>-939634.59554313973</v>
      </c>
      <c r="F48" s="88">
        <f t="shared" si="13"/>
        <v>-939634.59554313973</v>
      </c>
      <c r="G48" s="88">
        <f t="shared" si="13"/>
        <v>-939634.59554313973</v>
      </c>
      <c r="H48" s="88">
        <f t="shared" si="13"/>
        <v>-939634.59554313973</v>
      </c>
      <c r="I48" s="88">
        <f t="shared" si="13"/>
        <v>-939634.59554313973</v>
      </c>
      <c r="J48" s="88">
        <f t="shared" si="13"/>
        <v>-939634.59554313973</v>
      </c>
      <c r="K48" s="88">
        <f t="shared" si="13"/>
        <v>-939634.59554313973</v>
      </c>
      <c r="L48" s="88">
        <f t="shared" si="13"/>
        <v>-939634.59554313973</v>
      </c>
      <c r="M48" s="103">
        <f t="shared" si="13"/>
        <v>-939634.59554313973</v>
      </c>
    </row>
    <row r="49" spans="2:13" x14ac:dyDescent="0.25">
      <c r="B49" s="137" t="s">
        <v>26</v>
      </c>
      <c r="C49" s="111"/>
      <c r="D49" s="111">
        <f>SUM(D44:D48)</f>
        <v>1745035.6774372598</v>
      </c>
      <c r="E49" s="111">
        <f t="shared" ref="E49:M49" si="14">SUM(E44:E48)</f>
        <v>1745035.6774372598</v>
      </c>
      <c r="F49" s="111">
        <f t="shared" si="14"/>
        <v>1745035.6774372598</v>
      </c>
      <c r="G49" s="111">
        <f t="shared" si="14"/>
        <v>1745035.6774372598</v>
      </c>
      <c r="H49" s="111">
        <f t="shared" si="14"/>
        <v>1745035.6774372598</v>
      </c>
      <c r="I49" s="111">
        <f t="shared" si="14"/>
        <v>1745035.6774372598</v>
      </c>
      <c r="J49" s="111">
        <f t="shared" si="14"/>
        <v>1745035.6774372598</v>
      </c>
      <c r="K49" s="111">
        <f t="shared" si="14"/>
        <v>1745035.6774372598</v>
      </c>
      <c r="L49" s="111">
        <f t="shared" si="14"/>
        <v>1745035.6774372598</v>
      </c>
      <c r="M49" s="112">
        <f t="shared" si="14"/>
        <v>1745035.6774372598</v>
      </c>
    </row>
    <row r="51" spans="2:13" x14ac:dyDescent="0.25">
      <c r="B51" s="143" t="s">
        <v>157</v>
      </c>
      <c r="C51" s="71" t="s">
        <v>23</v>
      </c>
      <c r="D51" s="71" t="s">
        <v>0</v>
      </c>
      <c r="E51" s="71" t="s">
        <v>1</v>
      </c>
      <c r="F51" s="71" t="s">
        <v>2</v>
      </c>
      <c r="G51" s="71" t="s">
        <v>3</v>
      </c>
      <c r="H51" s="71" t="s">
        <v>38</v>
      </c>
      <c r="I51" s="71" t="s">
        <v>126</v>
      </c>
      <c r="J51" s="71" t="s">
        <v>127</v>
      </c>
      <c r="K51" s="71" t="s">
        <v>128</v>
      </c>
      <c r="L51" s="71" t="s">
        <v>129</v>
      </c>
      <c r="M51" s="72" t="s">
        <v>130</v>
      </c>
    </row>
    <row r="52" spans="2:13" x14ac:dyDescent="0.25">
      <c r="B52" s="100" t="s">
        <v>9</v>
      </c>
      <c r="C52" s="88"/>
      <c r="D52" s="88">
        <f>+D49</f>
        <v>1745035.6774372598</v>
      </c>
      <c r="E52" s="88">
        <f t="shared" ref="E52:M52" si="15">+E49</f>
        <v>1745035.6774372598</v>
      </c>
      <c r="F52" s="88">
        <f t="shared" si="15"/>
        <v>1745035.6774372598</v>
      </c>
      <c r="G52" s="88">
        <f t="shared" si="15"/>
        <v>1745035.6774372598</v>
      </c>
      <c r="H52" s="88">
        <f t="shared" si="15"/>
        <v>1745035.6774372598</v>
      </c>
      <c r="I52" s="88">
        <f t="shared" si="15"/>
        <v>1745035.6774372598</v>
      </c>
      <c r="J52" s="88">
        <f t="shared" si="15"/>
        <v>1745035.6774372598</v>
      </c>
      <c r="K52" s="88">
        <f t="shared" si="15"/>
        <v>1745035.6774372598</v>
      </c>
      <c r="L52" s="88">
        <f t="shared" si="15"/>
        <v>1745035.6774372598</v>
      </c>
      <c r="M52" s="103">
        <f t="shared" si="15"/>
        <v>1745035.6774372598</v>
      </c>
    </row>
    <row r="53" spans="2:13" x14ac:dyDescent="0.25">
      <c r="B53" s="100" t="s">
        <v>179</v>
      </c>
      <c r="C53" s="88"/>
      <c r="D53" s="88">
        <f>-D47</f>
        <v>2500000</v>
      </c>
      <c r="E53" s="88">
        <f t="shared" ref="E53:M53" si="16">-E47</f>
        <v>2500000</v>
      </c>
      <c r="F53" s="88">
        <f t="shared" si="16"/>
        <v>2500000</v>
      </c>
      <c r="G53" s="88">
        <f t="shared" si="16"/>
        <v>2500000</v>
      </c>
      <c r="H53" s="88">
        <f t="shared" si="16"/>
        <v>2500000</v>
      </c>
      <c r="I53" s="88">
        <f t="shared" si="16"/>
        <v>2500000</v>
      </c>
      <c r="J53" s="88">
        <f t="shared" si="16"/>
        <v>2500000</v>
      </c>
      <c r="K53" s="88">
        <f t="shared" si="16"/>
        <v>2500000</v>
      </c>
      <c r="L53" s="88">
        <f t="shared" si="16"/>
        <v>2500000</v>
      </c>
      <c r="M53" s="103">
        <f t="shared" si="16"/>
        <v>2500000</v>
      </c>
    </row>
    <row r="54" spans="2:13" x14ac:dyDescent="0.25">
      <c r="B54" s="100" t="s">
        <v>27</v>
      </c>
      <c r="C54" s="88">
        <f>-C10</f>
        <v>-25000000</v>
      </c>
      <c r="D54" s="88"/>
      <c r="E54" s="88"/>
      <c r="F54" s="88"/>
      <c r="G54" s="88"/>
      <c r="H54" s="88"/>
      <c r="I54" s="88"/>
      <c r="J54" s="88"/>
      <c r="K54" s="88"/>
      <c r="L54" s="88"/>
      <c r="M54" s="103"/>
    </row>
    <row r="55" spans="2:13" x14ac:dyDescent="0.25">
      <c r="B55" s="137" t="s">
        <v>98</v>
      </c>
      <c r="C55" s="111">
        <f>SUM(C52:C54)</f>
        <v>-25000000</v>
      </c>
      <c r="D55" s="111">
        <f t="shared" ref="D55:M55" si="17">SUM(D52:D54)</f>
        <v>4245035.6774372598</v>
      </c>
      <c r="E55" s="111">
        <f t="shared" si="17"/>
        <v>4245035.6774372598</v>
      </c>
      <c r="F55" s="111">
        <f t="shared" si="17"/>
        <v>4245035.6774372598</v>
      </c>
      <c r="G55" s="111">
        <f t="shared" si="17"/>
        <v>4245035.6774372598</v>
      </c>
      <c r="H55" s="111">
        <f t="shared" si="17"/>
        <v>4245035.6774372598</v>
      </c>
      <c r="I55" s="111">
        <f t="shared" si="17"/>
        <v>4245035.6774372598</v>
      </c>
      <c r="J55" s="111">
        <f t="shared" si="17"/>
        <v>4245035.6774372598</v>
      </c>
      <c r="K55" s="111">
        <f t="shared" si="17"/>
        <v>4245035.6774372598</v>
      </c>
      <c r="L55" s="111">
        <f t="shared" si="17"/>
        <v>4245035.6774372598</v>
      </c>
      <c r="M55" s="112">
        <f t="shared" si="17"/>
        <v>4245035.6774372598</v>
      </c>
    </row>
    <row r="57" spans="2:13" x14ac:dyDescent="0.25">
      <c r="B57" s="127" t="s">
        <v>299</v>
      </c>
      <c r="C57" s="110">
        <f>+C55+NPV(C23,D55:M55)</f>
        <v>0</v>
      </c>
    </row>
    <row r="60" spans="2:13" x14ac:dyDescent="0.25">
      <c r="B60" s="155" t="s">
        <v>389</v>
      </c>
      <c r="C60" s="156"/>
      <c r="D60" s="156"/>
      <c r="E60" s="156"/>
      <c r="F60" s="157"/>
    </row>
    <row r="61" spans="2:13" x14ac:dyDescent="0.25">
      <c r="B61" s="145"/>
      <c r="C61" s="146"/>
      <c r="D61" s="146"/>
      <c r="E61" s="146"/>
      <c r="F61" s="147"/>
    </row>
    <row r="62" spans="2:13" x14ac:dyDescent="0.25">
      <c r="B62" s="148" t="s">
        <v>374</v>
      </c>
      <c r="C62" s="149" t="s">
        <v>373</v>
      </c>
      <c r="D62" s="144" t="s">
        <v>375</v>
      </c>
      <c r="E62" s="150" t="s">
        <v>132</v>
      </c>
      <c r="F62" s="151">
        <v>0</v>
      </c>
    </row>
    <row r="63" spans="2:13" ht="15.6" x14ac:dyDescent="0.25">
      <c r="B63" s="136"/>
      <c r="C63" s="152"/>
      <c r="D63" s="43" t="s">
        <v>413</v>
      </c>
      <c r="E63" s="153"/>
      <c r="F63" s="154"/>
    </row>
    <row r="64" spans="2:13" x14ac:dyDescent="0.25">
      <c r="B64" s="88"/>
      <c r="C64" s="158"/>
      <c r="D64" s="9"/>
      <c r="E64" s="159"/>
      <c r="F64" s="159"/>
      <c r="H64" s="7" t="s">
        <v>33</v>
      </c>
      <c r="I64" s="7" t="s">
        <v>34</v>
      </c>
    </row>
    <row r="65" spans="5:12" x14ac:dyDescent="0.25">
      <c r="E65" s="161"/>
      <c r="F65" s="171">
        <v>0.11</v>
      </c>
      <c r="G65" s="162" t="s">
        <v>27</v>
      </c>
      <c r="H65" s="163" t="s">
        <v>377</v>
      </c>
      <c r="I65" s="163" t="s">
        <v>378</v>
      </c>
      <c r="J65" s="164" t="s">
        <v>376</v>
      </c>
      <c r="K65" s="165" t="s">
        <v>472</v>
      </c>
      <c r="L65" s="166" t="s">
        <v>473</v>
      </c>
    </row>
    <row r="66" spans="5:12" x14ac:dyDescent="0.25">
      <c r="E66" s="169"/>
      <c r="F66" s="169" t="s">
        <v>23</v>
      </c>
      <c r="G66" s="88"/>
      <c r="H66" s="100"/>
      <c r="I66" s="100"/>
      <c r="J66" s="100"/>
      <c r="K66" s="100"/>
      <c r="L66" s="160"/>
    </row>
    <row r="67" spans="5:12" x14ac:dyDescent="0.25">
      <c r="E67" s="170">
        <v>1</v>
      </c>
      <c r="F67" s="277" t="s">
        <v>0</v>
      </c>
      <c r="G67" s="565">
        <v>-25000</v>
      </c>
      <c r="H67" s="20">
        <f>50*0.65</f>
        <v>32.5</v>
      </c>
      <c r="I67" s="20">
        <f>(-9500*0.65)+2500</f>
        <v>-3675</v>
      </c>
      <c r="J67" s="20">
        <f t="shared" ref="J67:J76" si="18">1/(1+$F$65)^E67</f>
        <v>0.9009009009009008</v>
      </c>
      <c r="K67" s="20">
        <f>+H67*J67</f>
        <v>29.279279279279276</v>
      </c>
      <c r="L67" s="277">
        <f>+I67*J67</f>
        <v>-3310.8108108108104</v>
      </c>
    </row>
    <row r="68" spans="5:12" x14ac:dyDescent="0.25">
      <c r="E68" s="170">
        <v>2</v>
      </c>
      <c r="F68" s="277" t="s">
        <v>1</v>
      </c>
      <c r="G68" s="88"/>
      <c r="H68" s="20">
        <f t="shared" ref="H68:H76" si="19">50*0.65</f>
        <v>32.5</v>
      </c>
      <c r="I68" s="20">
        <f>(-9500*0.65)+2500</f>
        <v>-3675</v>
      </c>
      <c r="J68" s="20">
        <f t="shared" si="18"/>
        <v>0.8116224332440547</v>
      </c>
      <c r="K68" s="20">
        <f t="shared" ref="K68:K75" si="20">+H68*J68</f>
        <v>26.377729080431777</v>
      </c>
      <c r="L68" s="277">
        <f t="shared" ref="L68:L75" si="21">+I68*J68</f>
        <v>-2982.7124421719009</v>
      </c>
    </row>
    <row r="69" spans="5:12" x14ac:dyDescent="0.25">
      <c r="E69" s="170">
        <v>3</v>
      </c>
      <c r="F69" s="277" t="s">
        <v>2</v>
      </c>
      <c r="G69" s="88"/>
      <c r="H69" s="20">
        <f t="shared" si="19"/>
        <v>32.5</v>
      </c>
      <c r="I69" s="20">
        <f t="shared" ref="I69:I76" si="22">-(9500*0.65)+2500</f>
        <v>-3675</v>
      </c>
      <c r="J69" s="20">
        <f t="shared" si="18"/>
        <v>0.73119138130095018</v>
      </c>
      <c r="K69" s="20">
        <f t="shared" si="20"/>
        <v>23.763719892280882</v>
      </c>
      <c r="L69" s="277">
        <f t="shared" si="21"/>
        <v>-2687.128326280992</v>
      </c>
    </row>
    <row r="70" spans="5:12" x14ac:dyDescent="0.25">
      <c r="E70" s="170">
        <v>4</v>
      </c>
      <c r="F70" s="277" t="s">
        <v>3</v>
      </c>
      <c r="G70" s="88"/>
      <c r="H70" s="20">
        <f t="shared" si="19"/>
        <v>32.5</v>
      </c>
      <c r="I70" s="20">
        <f t="shared" si="22"/>
        <v>-3675</v>
      </c>
      <c r="J70" s="20">
        <f t="shared" si="18"/>
        <v>0.65873097414500015</v>
      </c>
      <c r="K70" s="20">
        <f t="shared" si="20"/>
        <v>21.408756659712505</v>
      </c>
      <c r="L70" s="277">
        <f t="shared" si="21"/>
        <v>-2420.8363299828757</v>
      </c>
    </row>
    <row r="71" spans="5:12" x14ac:dyDescent="0.25">
      <c r="E71" s="170">
        <v>5</v>
      </c>
      <c r="F71" s="277" t="s">
        <v>38</v>
      </c>
      <c r="G71" s="88"/>
      <c r="H71" s="20">
        <f t="shared" si="19"/>
        <v>32.5</v>
      </c>
      <c r="I71" s="20">
        <f t="shared" si="22"/>
        <v>-3675</v>
      </c>
      <c r="J71" s="20">
        <f t="shared" si="18"/>
        <v>0.5934513280585586</v>
      </c>
      <c r="K71" s="20">
        <f t="shared" si="20"/>
        <v>19.287168161903153</v>
      </c>
      <c r="L71" s="277">
        <f t="shared" si="21"/>
        <v>-2180.9336306152027</v>
      </c>
    </row>
    <row r="72" spans="5:12" x14ac:dyDescent="0.25">
      <c r="E72" s="170">
        <v>6</v>
      </c>
      <c r="F72" s="277" t="s">
        <v>126</v>
      </c>
      <c r="G72" s="88"/>
      <c r="H72" s="20">
        <f t="shared" si="19"/>
        <v>32.5</v>
      </c>
      <c r="I72" s="20">
        <f t="shared" si="22"/>
        <v>-3675</v>
      </c>
      <c r="J72" s="20">
        <f t="shared" si="18"/>
        <v>0.53464083608879154</v>
      </c>
      <c r="K72" s="20">
        <f t="shared" si="20"/>
        <v>17.375827172885725</v>
      </c>
      <c r="L72" s="277">
        <f t="shared" si="21"/>
        <v>-1964.8050726263089</v>
      </c>
    </row>
    <row r="73" spans="5:12" x14ac:dyDescent="0.25">
      <c r="E73" s="170">
        <v>7</v>
      </c>
      <c r="F73" s="277" t="s">
        <v>127</v>
      </c>
      <c r="G73" s="88"/>
      <c r="H73" s="20">
        <f t="shared" si="19"/>
        <v>32.5</v>
      </c>
      <c r="I73" s="20">
        <f t="shared" si="22"/>
        <v>-3675</v>
      </c>
      <c r="J73" s="20">
        <f t="shared" si="18"/>
        <v>0.48165841089080319</v>
      </c>
      <c r="K73" s="20">
        <f t="shared" si="20"/>
        <v>15.653898353951103</v>
      </c>
      <c r="L73" s="277">
        <f t="shared" si="21"/>
        <v>-1770.0946600237016</v>
      </c>
    </row>
    <row r="74" spans="5:12" x14ac:dyDescent="0.25">
      <c r="E74" s="170">
        <v>8</v>
      </c>
      <c r="F74" s="277" t="s">
        <v>128</v>
      </c>
      <c r="G74" s="88"/>
      <c r="H74" s="20">
        <f t="shared" si="19"/>
        <v>32.5</v>
      </c>
      <c r="I74" s="20">
        <f t="shared" si="22"/>
        <v>-3675</v>
      </c>
      <c r="J74" s="20">
        <f t="shared" si="18"/>
        <v>0.43392649629802077</v>
      </c>
      <c r="K74" s="20">
        <f t="shared" si="20"/>
        <v>14.102611129685675</v>
      </c>
      <c r="L74" s="277">
        <f t="shared" si="21"/>
        <v>-1594.6798738952264</v>
      </c>
    </row>
    <row r="75" spans="5:12" x14ac:dyDescent="0.25">
      <c r="E75" s="170">
        <v>9</v>
      </c>
      <c r="F75" s="277" t="s">
        <v>129</v>
      </c>
      <c r="G75" s="88"/>
      <c r="H75" s="20">
        <f t="shared" si="19"/>
        <v>32.5</v>
      </c>
      <c r="I75" s="20">
        <f t="shared" si="22"/>
        <v>-3675</v>
      </c>
      <c r="J75" s="20">
        <f t="shared" si="18"/>
        <v>0.39092477143965831</v>
      </c>
      <c r="K75" s="20">
        <f t="shared" si="20"/>
        <v>12.705055071788895</v>
      </c>
      <c r="L75" s="277">
        <f t="shared" si="21"/>
        <v>-1436.6485350407443</v>
      </c>
    </row>
    <row r="76" spans="5:12" x14ac:dyDescent="0.25">
      <c r="E76" s="170">
        <v>10</v>
      </c>
      <c r="F76" s="277" t="s">
        <v>130</v>
      </c>
      <c r="G76" s="88"/>
      <c r="H76" s="20">
        <f t="shared" si="19"/>
        <v>32.5</v>
      </c>
      <c r="I76" s="20">
        <f t="shared" si="22"/>
        <v>-3675</v>
      </c>
      <c r="J76" s="20">
        <f t="shared" si="18"/>
        <v>0.3521844787744669</v>
      </c>
      <c r="K76" s="20">
        <f>+H76*J76</f>
        <v>11.445995560170175</v>
      </c>
      <c r="L76" s="277">
        <f>+I76*J76</f>
        <v>-1294.277959496166</v>
      </c>
    </row>
    <row r="77" spans="5:12" x14ac:dyDescent="0.25">
      <c r="E77" s="120"/>
      <c r="F77" s="172"/>
      <c r="G77" s="172"/>
      <c r="H77" s="172"/>
      <c r="I77" s="172"/>
      <c r="J77" s="172"/>
      <c r="K77" s="442">
        <f>SUM(K67:K76)</f>
        <v>191.40004036208916</v>
      </c>
      <c r="L77" s="442">
        <f>SUM(L67:L76)</f>
        <v>-21642.92764094393</v>
      </c>
    </row>
    <row r="78" spans="5:12" x14ac:dyDescent="0.25">
      <c r="E78" s="167"/>
      <c r="F78" s="168"/>
      <c r="G78" s="168"/>
      <c r="H78" s="168"/>
      <c r="I78" s="168"/>
      <c r="J78" s="168"/>
      <c r="K78" s="168"/>
      <c r="L78" s="568">
        <f>-L77-G67</f>
        <v>46642.927640943934</v>
      </c>
    </row>
    <row r="79" spans="5:12" x14ac:dyDescent="0.25">
      <c r="E79" s="120"/>
      <c r="F79" s="172"/>
      <c r="G79" s="172"/>
      <c r="H79" s="172"/>
      <c r="I79" s="172"/>
      <c r="J79" s="172"/>
      <c r="K79" s="172" t="s">
        <v>379</v>
      </c>
      <c r="L79" s="569">
        <f>+L78/K77</f>
        <v>243.69340545960802</v>
      </c>
    </row>
  </sheetData>
  <sheetProtection algorithmName="SHA-512" hashValue="dxdF/VIZw6yxtpy1qR5yL0+xQZvpK7iv5gyLgL28X4S4mk9O1aH20WoT60DesDXP+A+K+nRJX8Xn9K7XIrw1XQ==" saltValue="GgSM/gG9dWUG/b1zYo5O4w==" spinCount="100000" sheet="1" objects="1" scenarios="1"/>
  <mergeCells count="2">
    <mergeCell ref="B1:M1"/>
    <mergeCell ref="B3:D4"/>
  </mergeCells>
  <phoneticPr fontId="1" type="noConversion"/>
  <hyperlinks>
    <hyperlink ref="B40" r:id="rId1" display="VPN@11%" xr:uid="{00000000-0004-0000-0400-000000000000}"/>
    <hyperlink ref="B57" r:id="rId2" display="VPN@11%" xr:uid="{BDF65A60-4885-46C9-BA17-BC7CF58FABBB}"/>
  </hyperlinks>
  <pageMargins left="0.7" right="0.7" top="0.75" bottom="0.75" header="0.3" footer="0.3"/>
  <pageSetup orientation="portrait" horizontalDpi="360" verticalDpi="360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02"/>
  <sheetViews>
    <sheetView topLeftCell="A94" zoomScaleNormal="100" workbookViewId="0">
      <selection activeCell="K60" sqref="K60"/>
    </sheetView>
  </sheetViews>
  <sheetFormatPr baseColWidth="10" defaultColWidth="11.44140625" defaultRowHeight="13.8" x14ac:dyDescent="0.25"/>
  <cols>
    <col min="1" max="1" width="24.33203125" style="86" customWidth="1"/>
    <col min="2" max="2" width="13" style="86" customWidth="1"/>
    <col min="3" max="3" width="25.6640625" style="86" bestFit="1" customWidth="1"/>
    <col min="4" max="4" width="13.33203125" style="86" customWidth="1"/>
    <col min="5" max="5" width="17.33203125" style="86" bestFit="1" customWidth="1"/>
    <col min="6" max="6" width="13.33203125" style="86" customWidth="1"/>
    <col min="7" max="7" width="13" style="86" customWidth="1"/>
    <col min="8" max="8" width="13.5546875" style="86" customWidth="1"/>
    <col min="9" max="10" width="11.44140625" style="86"/>
    <col min="11" max="11" width="12.33203125" style="86" bestFit="1" customWidth="1"/>
    <col min="12" max="12" width="22.44140625" style="86" bestFit="1" customWidth="1"/>
    <col min="13" max="13" width="9.109375" style="86" bestFit="1" customWidth="1"/>
    <col min="14" max="16" width="8.109375" style="86" bestFit="1" customWidth="1"/>
    <col min="17" max="18" width="11.44140625" style="86"/>
    <col min="19" max="19" width="6.5546875" style="86" customWidth="1"/>
    <col min="20" max="16384" width="11.44140625" style="86"/>
  </cols>
  <sheetData>
    <row r="1" spans="2:8" ht="19.95" customHeight="1" x14ac:dyDescent="0.25">
      <c r="B1" s="619" t="s">
        <v>415</v>
      </c>
      <c r="C1" s="619"/>
      <c r="D1" s="619"/>
      <c r="E1" s="619"/>
      <c r="F1" s="619"/>
      <c r="G1" s="619"/>
      <c r="H1" s="619"/>
    </row>
    <row r="3" spans="2:8" x14ac:dyDescent="0.25">
      <c r="B3" s="126"/>
      <c r="C3" s="131"/>
      <c r="D3" s="563" t="s">
        <v>23</v>
      </c>
      <c r="E3" s="563" t="s">
        <v>0</v>
      </c>
      <c r="F3" s="563" t="s">
        <v>1</v>
      </c>
      <c r="G3" s="563" t="s">
        <v>2</v>
      </c>
      <c r="H3" s="564" t="s">
        <v>3</v>
      </c>
    </row>
    <row r="4" spans="2:8" x14ac:dyDescent="0.25">
      <c r="B4" s="160"/>
      <c r="C4" s="100" t="s">
        <v>4</v>
      </c>
      <c r="D4" s="88"/>
      <c r="E4" s="88">
        <v>800000</v>
      </c>
      <c r="F4" s="88">
        <v>900000</v>
      </c>
      <c r="G4" s="88">
        <v>900000</v>
      </c>
      <c r="H4" s="103">
        <v>900000</v>
      </c>
    </row>
    <row r="5" spans="2:8" x14ac:dyDescent="0.25">
      <c r="B5" s="160"/>
      <c r="C5" s="100" t="s">
        <v>178</v>
      </c>
      <c r="D5" s="88"/>
      <c r="E5" s="88"/>
      <c r="F5" s="88"/>
      <c r="G5" s="88"/>
      <c r="H5" s="103">
        <v>50000</v>
      </c>
    </row>
    <row r="6" spans="2:8" x14ac:dyDescent="0.25">
      <c r="B6" s="186">
        <v>0.15</v>
      </c>
      <c r="C6" s="100" t="s">
        <v>338</v>
      </c>
      <c r="D6" s="88"/>
      <c r="E6" s="9" t="s">
        <v>162</v>
      </c>
      <c r="F6" s="9" t="s">
        <v>162</v>
      </c>
      <c r="G6" s="9" t="s">
        <v>162</v>
      </c>
      <c r="H6" s="12" t="s">
        <v>162</v>
      </c>
    </row>
    <row r="7" spans="2:8" x14ac:dyDescent="0.25">
      <c r="B7" s="187"/>
      <c r="C7" s="100" t="s">
        <v>339</v>
      </c>
      <c r="D7" s="88"/>
      <c r="E7" s="88">
        <v>-150000</v>
      </c>
      <c r="F7" s="88">
        <v>-150000</v>
      </c>
      <c r="G7" s="88">
        <v>-150000</v>
      </c>
      <c r="H7" s="103">
        <v>-150000</v>
      </c>
    </row>
    <row r="8" spans="2:8" x14ac:dyDescent="0.25">
      <c r="B8" s="186">
        <v>0.1</v>
      </c>
      <c r="C8" s="100" t="s">
        <v>340</v>
      </c>
      <c r="D8" s="88"/>
      <c r="E8" s="9" t="s">
        <v>162</v>
      </c>
      <c r="F8" s="9" t="s">
        <v>162</v>
      </c>
      <c r="G8" s="9" t="s">
        <v>162</v>
      </c>
      <c r="H8" s="12" t="s">
        <v>162</v>
      </c>
    </row>
    <row r="9" spans="2:8" x14ac:dyDescent="0.25">
      <c r="B9" s="187"/>
      <c r="C9" s="100" t="s">
        <v>156</v>
      </c>
      <c r="D9" s="88"/>
      <c r="E9" s="9" t="s">
        <v>162</v>
      </c>
      <c r="F9" s="9" t="s">
        <v>162</v>
      </c>
      <c r="G9" s="9" t="s">
        <v>162</v>
      </c>
      <c r="H9" s="12" t="s">
        <v>162</v>
      </c>
    </row>
    <row r="10" spans="2:8" x14ac:dyDescent="0.25">
      <c r="B10" s="187"/>
      <c r="C10" s="100" t="s">
        <v>341</v>
      </c>
      <c r="D10" s="88"/>
      <c r="E10" s="9" t="s">
        <v>162</v>
      </c>
      <c r="F10" s="9" t="s">
        <v>162</v>
      </c>
      <c r="G10" s="9" t="s">
        <v>162</v>
      </c>
      <c r="H10" s="12" t="s">
        <v>162</v>
      </c>
    </row>
    <row r="11" spans="2:8" x14ac:dyDescent="0.25">
      <c r="B11" s="187"/>
      <c r="C11" s="100" t="s">
        <v>342</v>
      </c>
      <c r="D11" s="88"/>
      <c r="E11" s="9" t="s">
        <v>162</v>
      </c>
      <c r="F11" s="9" t="s">
        <v>162</v>
      </c>
      <c r="G11" s="9" t="s">
        <v>162</v>
      </c>
      <c r="H11" s="12" t="s">
        <v>162</v>
      </c>
    </row>
    <row r="12" spans="2:8" x14ac:dyDescent="0.25">
      <c r="B12" s="188">
        <v>0.35</v>
      </c>
      <c r="C12" s="100" t="s">
        <v>153</v>
      </c>
      <c r="D12" s="88"/>
      <c r="E12" s="9" t="s">
        <v>162</v>
      </c>
      <c r="F12" s="9" t="s">
        <v>162</v>
      </c>
      <c r="G12" s="9" t="s">
        <v>162</v>
      </c>
      <c r="H12" s="12" t="s">
        <v>162</v>
      </c>
    </row>
    <row r="13" spans="2:8" x14ac:dyDescent="0.25">
      <c r="B13" s="120"/>
      <c r="C13" s="111" t="s">
        <v>26</v>
      </c>
      <c r="D13" s="111"/>
      <c r="E13" s="184" t="s">
        <v>162</v>
      </c>
      <c r="F13" s="184" t="s">
        <v>162</v>
      </c>
      <c r="G13" s="184" t="s">
        <v>162</v>
      </c>
      <c r="H13" s="185" t="s">
        <v>162</v>
      </c>
    </row>
    <row r="16" spans="2:8" x14ac:dyDescent="0.25">
      <c r="B16" s="127"/>
      <c r="C16" s="190" t="s">
        <v>27</v>
      </c>
      <c r="D16" s="562" t="s">
        <v>23</v>
      </c>
      <c r="E16" s="564" t="s">
        <v>0</v>
      </c>
    </row>
    <row r="17" spans="2:9" x14ac:dyDescent="0.25">
      <c r="B17" s="100"/>
      <c r="C17" s="88" t="s">
        <v>181</v>
      </c>
      <c r="D17" s="100">
        <f>-SUM(E7:H7)</f>
        <v>600000</v>
      </c>
      <c r="E17" s="103"/>
    </row>
    <row r="18" spans="2:9" ht="34.950000000000003" customHeight="1" x14ac:dyDescent="0.25">
      <c r="B18" s="189" t="s">
        <v>344</v>
      </c>
      <c r="C18" s="191" t="s">
        <v>343</v>
      </c>
      <c r="D18" s="192">
        <f>+(E4-D4)*0.1</f>
        <v>80000</v>
      </c>
      <c r="E18" s="193">
        <f>+(F4-E4)*0.1</f>
        <v>10000</v>
      </c>
    </row>
    <row r="20" spans="2:9" x14ac:dyDescent="0.25">
      <c r="B20" s="265"/>
      <c r="C20" s="194" t="s">
        <v>345</v>
      </c>
      <c r="D20" s="562" t="s">
        <v>23</v>
      </c>
      <c r="E20" s="564" t="s">
        <v>214</v>
      </c>
    </row>
    <row r="21" spans="2:9" x14ac:dyDescent="0.25">
      <c r="B21" s="570"/>
      <c r="C21" s="88" t="s">
        <v>346</v>
      </c>
      <c r="D21" s="100">
        <v>200000</v>
      </c>
      <c r="E21" s="195">
        <f t="shared" ref="E21:E22" si="0">+D21/$D$23</f>
        <v>0.29411764705882354</v>
      </c>
    </row>
    <row r="22" spans="2:9" x14ac:dyDescent="0.25">
      <c r="B22" s="571" t="s">
        <v>348</v>
      </c>
      <c r="C22" s="88" t="s">
        <v>347</v>
      </c>
      <c r="D22" s="100">
        <f>+(D17+D18)-D21</f>
        <v>480000</v>
      </c>
      <c r="E22" s="195">
        <f t="shared" si="0"/>
        <v>0.70588235294117652</v>
      </c>
      <c r="I22" s="177"/>
    </row>
    <row r="23" spans="2:9" x14ac:dyDescent="0.25">
      <c r="B23" s="571" t="s">
        <v>349</v>
      </c>
      <c r="C23" s="196"/>
      <c r="D23" s="197">
        <f>SUM(D21:D22)</f>
        <v>680000</v>
      </c>
      <c r="E23" s="198">
        <f>+D23/$D$23</f>
        <v>1</v>
      </c>
      <c r="I23" s="177"/>
    </row>
    <row r="24" spans="2:9" x14ac:dyDescent="0.25">
      <c r="B24" s="572" t="s">
        <v>350</v>
      </c>
      <c r="C24" s="173"/>
      <c r="D24" s="119"/>
      <c r="E24" s="174"/>
    </row>
    <row r="26" spans="2:9" x14ac:dyDescent="0.25">
      <c r="C26" s="86" t="s">
        <v>351</v>
      </c>
      <c r="D26" s="175">
        <v>0.12</v>
      </c>
    </row>
    <row r="27" spans="2:9" x14ac:dyDescent="0.25">
      <c r="D27" s="562" t="s">
        <v>23</v>
      </c>
      <c r="E27" s="563" t="s">
        <v>0</v>
      </c>
      <c r="F27" s="563" t="s">
        <v>1</v>
      </c>
      <c r="G27" s="563" t="s">
        <v>2</v>
      </c>
      <c r="H27" s="564" t="s">
        <v>3</v>
      </c>
    </row>
    <row r="28" spans="2:9" x14ac:dyDescent="0.25">
      <c r="C28" s="86" t="s">
        <v>58</v>
      </c>
      <c r="D28" s="86">
        <f>+D22</f>
        <v>480000</v>
      </c>
      <c r="E28" s="86">
        <f>+D28-E29</f>
        <v>379567.47057326883</v>
      </c>
      <c r="F28" s="86">
        <f t="shared" ref="F28:H28" si="1">+E28-F29</f>
        <v>267083.03761532996</v>
      </c>
      <c r="G28" s="86">
        <f t="shared" si="1"/>
        <v>141100.47270243842</v>
      </c>
      <c r="H28" s="86">
        <f t="shared" si="1"/>
        <v>0</v>
      </c>
    </row>
    <row r="29" spans="2:9" x14ac:dyDescent="0.25">
      <c r="C29" s="86" t="s">
        <v>55</v>
      </c>
      <c r="E29" s="86">
        <f>+E31-E30</f>
        <v>100432.52942673114</v>
      </c>
      <c r="F29" s="86">
        <f t="shared" ref="F29:H29" si="2">+F31-F30</f>
        <v>112484.43295793887</v>
      </c>
      <c r="G29" s="86">
        <f t="shared" si="2"/>
        <v>125982.56491289154</v>
      </c>
      <c r="H29" s="86">
        <f t="shared" si="2"/>
        <v>141100.47270243854</v>
      </c>
    </row>
    <row r="30" spans="2:9" x14ac:dyDescent="0.25">
      <c r="C30" s="86" t="s">
        <v>56</v>
      </c>
      <c r="E30" s="86">
        <f>+D28*$D$26</f>
        <v>57600</v>
      </c>
      <c r="F30" s="86">
        <f t="shared" ref="F30:H30" si="3">+E28*$D$26</f>
        <v>45548.096468792261</v>
      </c>
      <c r="G30" s="86">
        <f t="shared" si="3"/>
        <v>32049.964513839594</v>
      </c>
      <c r="H30" s="86">
        <f t="shared" si="3"/>
        <v>16932.056724292608</v>
      </c>
    </row>
    <row r="31" spans="2:9" x14ac:dyDescent="0.25">
      <c r="C31" s="93" t="s">
        <v>135</v>
      </c>
      <c r="D31" s="93"/>
      <c r="E31" s="93">
        <f>PMT($D$26,4,-$D$28)</f>
        <v>158032.52942673114</v>
      </c>
      <c r="F31" s="93">
        <f t="shared" ref="F31:H31" si="4">PMT($D$26,4,-$D$28)</f>
        <v>158032.52942673114</v>
      </c>
      <c r="G31" s="93">
        <f t="shared" si="4"/>
        <v>158032.52942673114</v>
      </c>
      <c r="H31" s="93">
        <f t="shared" si="4"/>
        <v>158032.52942673114</v>
      </c>
    </row>
    <row r="34" spans="2:8" x14ac:dyDescent="0.25">
      <c r="D34" s="562" t="s">
        <v>23</v>
      </c>
      <c r="E34" s="563" t="s">
        <v>0</v>
      </c>
      <c r="F34" s="563" t="s">
        <v>1</v>
      </c>
      <c r="G34" s="563" t="s">
        <v>2</v>
      </c>
      <c r="H34" s="564" t="s">
        <v>3</v>
      </c>
    </row>
    <row r="35" spans="2:8" x14ac:dyDescent="0.25">
      <c r="C35" s="86" t="s">
        <v>4</v>
      </c>
      <c r="E35" s="86">
        <v>800000</v>
      </c>
      <c r="F35" s="86">
        <v>900000</v>
      </c>
      <c r="G35" s="86">
        <v>900000</v>
      </c>
      <c r="H35" s="86">
        <v>900000</v>
      </c>
    </row>
    <row r="36" spans="2:8" x14ac:dyDescent="0.25">
      <c r="C36" s="86" t="s">
        <v>178</v>
      </c>
      <c r="H36" s="86">
        <v>50000</v>
      </c>
    </row>
    <row r="37" spans="2:8" x14ac:dyDescent="0.25">
      <c r="B37" s="175">
        <f>+B6</f>
        <v>0.15</v>
      </c>
      <c r="C37" s="86" t="s">
        <v>338</v>
      </c>
      <c r="E37" s="86">
        <f>-E35*$B$37</f>
        <v>-120000</v>
      </c>
      <c r="F37" s="86">
        <f>-F35*$B$37</f>
        <v>-135000</v>
      </c>
      <c r="G37" s="86">
        <f>-G35*$B$37</f>
        <v>-135000</v>
      </c>
      <c r="H37" s="86">
        <f>-H35*$B$37</f>
        <v>-135000</v>
      </c>
    </row>
    <row r="38" spans="2:8" x14ac:dyDescent="0.25">
      <c r="B38" s="175"/>
      <c r="C38" s="86" t="s">
        <v>339</v>
      </c>
      <c r="E38" s="86">
        <v>-150000</v>
      </c>
      <c r="F38" s="86">
        <v>-150000</v>
      </c>
      <c r="G38" s="86">
        <v>-150000</v>
      </c>
      <c r="H38" s="86">
        <v>-150000</v>
      </c>
    </row>
    <row r="39" spans="2:8" x14ac:dyDescent="0.25">
      <c r="B39" s="175">
        <f>+B8</f>
        <v>0.1</v>
      </c>
      <c r="C39" s="86" t="s">
        <v>340</v>
      </c>
      <c r="E39" s="86">
        <f>-E35*$B$39</f>
        <v>-80000</v>
      </c>
      <c r="F39" s="86">
        <f>-F35*$B$39</f>
        <v>-90000</v>
      </c>
      <c r="G39" s="86">
        <f>-G35*$B$39</f>
        <v>-90000</v>
      </c>
      <c r="H39" s="86">
        <f>-H35*$B$39</f>
        <v>-90000</v>
      </c>
    </row>
    <row r="40" spans="2:8" x14ac:dyDescent="0.25">
      <c r="B40" s="175"/>
      <c r="C40" s="86" t="s">
        <v>156</v>
      </c>
      <c r="E40" s="86">
        <f>SUM(E35:E39)</f>
        <v>450000</v>
      </c>
      <c r="F40" s="86">
        <f t="shared" ref="F40:H40" si="5">SUM(F35:F39)</f>
        <v>525000</v>
      </c>
      <c r="G40" s="86">
        <f t="shared" si="5"/>
        <v>525000</v>
      </c>
      <c r="H40" s="86">
        <f t="shared" si="5"/>
        <v>575000</v>
      </c>
    </row>
    <row r="41" spans="2:8" x14ac:dyDescent="0.25">
      <c r="B41" s="175"/>
      <c r="C41" s="86" t="s">
        <v>341</v>
      </c>
      <c r="E41" s="86">
        <f>-E30</f>
        <v>-57600</v>
      </c>
      <c r="F41" s="86">
        <f>-F30</f>
        <v>-45548.096468792261</v>
      </c>
      <c r="G41" s="86">
        <f>-G30</f>
        <v>-32049.964513839594</v>
      </c>
      <c r="H41" s="86">
        <f>-H30</f>
        <v>-16932.056724292608</v>
      </c>
    </row>
    <row r="42" spans="2:8" x14ac:dyDescent="0.25">
      <c r="B42" s="175"/>
      <c r="C42" s="86" t="s">
        <v>342</v>
      </c>
      <c r="E42" s="86">
        <f>SUM(E40:E41)</f>
        <v>392400</v>
      </c>
      <c r="F42" s="86">
        <f t="shared" ref="F42:H42" si="6">SUM(F40:F41)</f>
        <v>479451.90353120776</v>
      </c>
      <c r="G42" s="86">
        <f t="shared" si="6"/>
        <v>492950.03548616043</v>
      </c>
      <c r="H42" s="86">
        <f t="shared" si="6"/>
        <v>558067.94327570742</v>
      </c>
    </row>
    <row r="43" spans="2:8" x14ac:dyDescent="0.25">
      <c r="B43" s="175">
        <f>+B12</f>
        <v>0.35</v>
      </c>
      <c r="C43" s="86" t="s">
        <v>153</v>
      </c>
      <c r="E43" s="86">
        <f>-E42*$B$43</f>
        <v>-137340</v>
      </c>
      <c r="F43" s="86">
        <f t="shared" ref="F43:H43" si="7">-F42*$B$43</f>
        <v>-167808.16623592272</v>
      </c>
      <c r="G43" s="86">
        <f t="shared" si="7"/>
        <v>-172532.51242015613</v>
      </c>
      <c r="H43" s="86">
        <f t="shared" si="7"/>
        <v>-195323.78014649759</v>
      </c>
    </row>
    <row r="44" spans="2:8" x14ac:dyDescent="0.25">
      <c r="C44" s="137" t="s">
        <v>26</v>
      </c>
      <c r="D44" s="111"/>
      <c r="E44" s="111">
        <f>SUM(E42:E43)</f>
        <v>255060</v>
      </c>
      <c r="F44" s="111">
        <f t="shared" ref="F44:H44" si="8">SUM(F42:F43)</f>
        <v>311643.73729528504</v>
      </c>
      <c r="G44" s="111">
        <f t="shared" si="8"/>
        <v>320417.52306600427</v>
      </c>
      <c r="H44" s="112">
        <f t="shared" si="8"/>
        <v>362744.16312920983</v>
      </c>
    </row>
    <row r="49" spans="1:11" x14ac:dyDescent="0.25">
      <c r="A49" s="178" t="s">
        <v>30</v>
      </c>
      <c r="C49" s="143" t="s">
        <v>168</v>
      </c>
      <c r="D49" s="563" t="s">
        <v>23</v>
      </c>
      <c r="E49" s="563" t="s">
        <v>0</v>
      </c>
      <c r="F49" s="563" t="s">
        <v>1</v>
      </c>
      <c r="G49" s="563" t="s">
        <v>2</v>
      </c>
      <c r="H49" s="564" t="s">
        <v>3</v>
      </c>
      <c r="K49" s="176"/>
    </row>
    <row r="50" spans="1:11" x14ac:dyDescent="0.25">
      <c r="C50" s="86" t="s">
        <v>4</v>
      </c>
      <c r="E50" s="86">
        <f>+E35</f>
        <v>800000</v>
      </c>
      <c r="F50" s="86">
        <f t="shared" ref="F50:H50" si="9">+F35</f>
        <v>900000</v>
      </c>
      <c r="G50" s="86">
        <f t="shared" si="9"/>
        <v>900000</v>
      </c>
      <c r="H50" s="86">
        <f t="shared" si="9"/>
        <v>900000</v>
      </c>
    </row>
    <row r="51" spans="1:11" x14ac:dyDescent="0.25">
      <c r="C51" s="86" t="s">
        <v>178</v>
      </c>
      <c r="H51" s="86">
        <f>+H36</f>
        <v>50000</v>
      </c>
    </row>
    <row r="52" spans="1:11" x14ac:dyDescent="0.25">
      <c r="B52" s="175"/>
      <c r="C52" s="86" t="s">
        <v>338</v>
      </c>
      <c r="E52" s="86">
        <f>+E37</f>
        <v>-120000</v>
      </c>
      <c r="F52" s="86">
        <f t="shared" ref="F52:H52" si="10">+F37</f>
        <v>-135000</v>
      </c>
      <c r="G52" s="86">
        <f t="shared" si="10"/>
        <v>-135000</v>
      </c>
      <c r="H52" s="86">
        <f t="shared" si="10"/>
        <v>-135000</v>
      </c>
    </row>
    <row r="53" spans="1:11" x14ac:dyDescent="0.25">
      <c r="B53" s="175"/>
      <c r="C53" s="86" t="s">
        <v>339</v>
      </c>
      <c r="E53" s="86">
        <f>+E38</f>
        <v>-150000</v>
      </c>
      <c r="F53" s="86">
        <f t="shared" ref="F53:H53" si="11">+F38</f>
        <v>-150000</v>
      </c>
      <c r="G53" s="86">
        <f t="shared" si="11"/>
        <v>-150000</v>
      </c>
      <c r="H53" s="86">
        <f t="shared" si="11"/>
        <v>-150000</v>
      </c>
    </row>
    <row r="54" spans="1:11" x14ac:dyDescent="0.25">
      <c r="B54" s="175"/>
      <c r="C54" s="86" t="s">
        <v>340</v>
      </c>
      <c r="E54" s="86">
        <f>+E39</f>
        <v>-80000</v>
      </c>
      <c r="F54" s="86">
        <f t="shared" ref="F54:H54" si="12">+F39</f>
        <v>-90000</v>
      </c>
      <c r="G54" s="86">
        <f t="shared" si="12"/>
        <v>-90000</v>
      </c>
      <c r="H54" s="86">
        <f t="shared" si="12"/>
        <v>-90000</v>
      </c>
    </row>
    <row r="55" spans="1:11" x14ac:dyDescent="0.25">
      <c r="B55" s="175">
        <f>+B43</f>
        <v>0.35</v>
      </c>
      <c r="C55" s="86" t="s">
        <v>153</v>
      </c>
      <c r="E55" s="86">
        <f>-SUM(E50:E54)*$B$55</f>
        <v>-157500</v>
      </c>
      <c r="F55" s="86">
        <f t="shared" ref="F55:H55" si="13">-SUM(F50:F54)*$B$55</f>
        <v>-183750</v>
      </c>
      <c r="G55" s="86">
        <f t="shared" si="13"/>
        <v>-183750</v>
      </c>
      <c r="H55" s="86">
        <f t="shared" si="13"/>
        <v>-201250</v>
      </c>
    </row>
    <row r="56" spans="1:11" x14ac:dyDescent="0.25">
      <c r="C56" s="137" t="s">
        <v>26</v>
      </c>
      <c r="D56" s="111"/>
      <c r="E56" s="111">
        <f>SUM(E50:E55)</f>
        <v>292500</v>
      </c>
      <c r="F56" s="111">
        <f t="shared" ref="F56:H56" si="14">SUM(F50:F55)</f>
        <v>341250</v>
      </c>
      <c r="G56" s="111">
        <f t="shared" si="14"/>
        <v>341250</v>
      </c>
      <c r="H56" s="112">
        <f t="shared" si="14"/>
        <v>373750</v>
      </c>
    </row>
    <row r="58" spans="1:11" x14ac:dyDescent="0.25">
      <c r="C58" s="143" t="s">
        <v>157</v>
      </c>
      <c r="D58" s="563" t="s">
        <v>23</v>
      </c>
      <c r="E58" s="563" t="s">
        <v>0</v>
      </c>
      <c r="F58" s="563" t="s">
        <v>1</v>
      </c>
      <c r="G58" s="563" t="s">
        <v>2</v>
      </c>
      <c r="H58" s="564" t="s">
        <v>3</v>
      </c>
    </row>
    <row r="59" spans="1:11" x14ac:dyDescent="0.25">
      <c r="C59" s="86" t="s">
        <v>9</v>
      </c>
      <c r="E59" s="86">
        <f>+E56</f>
        <v>292500</v>
      </c>
      <c r="F59" s="86">
        <f t="shared" ref="F59:H59" si="15">+F56</f>
        <v>341250</v>
      </c>
      <c r="G59" s="86">
        <f t="shared" si="15"/>
        <v>341250</v>
      </c>
      <c r="H59" s="86">
        <f t="shared" si="15"/>
        <v>373750</v>
      </c>
    </row>
    <row r="60" spans="1:11" x14ac:dyDescent="0.25">
      <c r="C60" s="86" t="s">
        <v>179</v>
      </c>
      <c r="E60" s="86">
        <f>-E53</f>
        <v>150000</v>
      </c>
      <c r="F60" s="86">
        <f t="shared" ref="F60:H60" si="16">-F53</f>
        <v>150000</v>
      </c>
      <c r="G60" s="86">
        <f t="shared" si="16"/>
        <v>150000</v>
      </c>
      <c r="H60" s="86">
        <f t="shared" si="16"/>
        <v>150000</v>
      </c>
    </row>
    <row r="61" spans="1:11" x14ac:dyDescent="0.25">
      <c r="C61" s="86" t="s">
        <v>352</v>
      </c>
      <c r="H61" s="86">
        <f>-SUM(D65:G65)</f>
        <v>90000</v>
      </c>
    </row>
    <row r="62" spans="1:11" x14ac:dyDescent="0.25">
      <c r="C62" s="86" t="s">
        <v>180</v>
      </c>
      <c r="H62" s="86">
        <v>0</v>
      </c>
    </row>
    <row r="63" spans="1:11" x14ac:dyDescent="0.25">
      <c r="C63" s="86" t="s">
        <v>27</v>
      </c>
      <c r="D63" s="86">
        <f>SUM(D64:D65)</f>
        <v>-680000</v>
      </c>
      <c r="E63" s="86">
        <f t="shared" ref="E63:G63" si="17">SUM(E64:E65)</f>
        <v>-10000</v>
      </c>
      <c r="F63" s="86">
        <f t="shared" si="17"/>
        <v>0</v>
      </c>
      <c r="G63" s="86">
        <f t="shared" si="17"/>
        <v>0</v>
      </c>
    </row>
    <row r="64" spans="1:11" x14ac:dyDescent="0.25">
      <c r="C64" s="86" t="s">
        <v>181</v>
      </c>
      <c r="D64" s="86">
        <f>-D17</f>
        <v>-600000</v>
      </c>
    </row>
    <row r="65" spans="1:8" x14ac:dyDescent="0.25">
      <c r="C65" s="86" t="s">
        <v>29</v>
      </c>
      <c r="D65" s="86">
        <f>-(E50-D50)*10%</f>
        <v>-80000</v>
      </c>
      <c r="E65" s="86">
        <f t="shared" ref="E65:G65" si="18">-(F50-E50)*10%</f>
        <v>-10000</v>
      </c>
      <c r="F65" s="86">
        <f t="shared" si="18"/>
        <v>0</v>
      </c>
      <c r="G65" s="86">
        <f t="shared" si="18"/>
        <v>0</v>
      </c>
    </row>
    <row r="66" spans="1:8" x14ac:dyDescent="0.25">
      <c r="C66" s="113" t="s">
        <v>98</v>
      </c>
      <c r="D66" s="573">
        <f>SUM(D59:D63)</f>
        <v>-680000</v>
      </c>
      <c r="E66" s="573">
        <f>SUM(E59:E63)</f>
        <v>432500</v>
      </c>
      <c r="F66" s="573">
        <f t="shared" ref="F66:H66" si="19">SUM(F59:F63)</f>
        <v>491250</v>
      </c>
      <c r="G66" s="573">
        <f t="shared" si="19"/>
        <v>491250</v>
      </c>
      <c r="H66" s="574">
        <f t="shared" si="19"/>
        <v>613750</v>
      </c>
    </row>
    <row r="67" spans="1:8" x14ac:dyDescent="0.25">
      <c r="C67" s="179" t="s">
        <v>136</v>
      </c>
      <c r="D67" s="179"/>
      <c r="E67" s="179">
        <f>-E31</f>
        <v>-158032.52942673114</v>
      </c>
      <c r="F67" s="179">
        <f t="shared" ref="F67:H67" si="20">-F31</f>
        <v>-158032.52942673114</v>
      </c>
      <c r="G67" s="179">
        <f t="shared" si="20"/>
        <v>-158032.52942673114</v>
      </c>
      <c r="H67" s="179">
        <f t="shared" si="20"/>
        <v>-158032.52942673114</v>
      </c>
    </row>
    <row r="68" spans="1:8" x14ac:dyDescent="0.25">
      <c r="C68" s="179" t="s">
        <v>137</v>
      </c>
      <c r="D68" s="179"/>
      <c r="E68" s="179">
        <f>+E30*$B$55</f>
        <v>20160</v>
      </c>
      <c r="F68" s="179">
        <f t="shared" ref="F68:H68" si="21">+F30*$B$55</f>
        <v>15941.83376407729</v>
      </c>
      <c r="G68" s="179">
        <f t="shared" si="21"/>
        <v>11217.487579843857</v>
      </c>
      <c r="H68" s="179">
        <f t="shared" si="21"/>
        <v>5926.2198535024127</v>
      </c>
    </row>
    <row r="69" spans="1:8" x14ac:dyDescent="0.25">
      <c r="C69" s="179" t="s">
        <v>138</v>
      </c>
      <c r="D69" s="179">
        <f>+D22</f>
        <v>480000</v>
      </c>
      <c r="E69" s="179"/>
      <c r="F69" s="179"/>
      <c r="G69" s="179"/>
    </row>
    <row r="70" spans="1:8" x14ac:dyDescent="0.25">
      <c r="C70" s="113" t="s">
        <v>248</v>
      </c>
      <c r="D70" s="508">
        <f>SUM(D67:D69)</f>
        <v>480000</v>
      </c>
      <c r="E70" s="508">
        <f>SUM(E67:E69)</f>
        <v>-137872.52942673114</v>
      </c>
      <c r="F70" s="508">
        <f t="shared" ref="F70:H70" si="22">SUM(F67:F69)</f>
        <v>-142090.69566265386</v>
      </c>
      <c r="G70" s="508">
        <f t="shared" si="22"/>
        <v>-146815.0418468873</v>
      </c>
      <c r="H70" s="509">
        <f t="shared" si="22"/>
        <v>-152106.30957322873</v>
      </c>
    </row>
    <row r="71" spans="1:8" x14ac:dyDescent="0.25">
      <c r="C71" s="137" t="s">
        <v>139</v>
      </c>
      <c r="D71" s="111">
        <f>+D66+D70</f>
        <v>-200000</v>
      </c>
      <c r="E71" s="111">
        <f t="shared" ref="E71:H71" si="23">+E66+E70</f>
        <v>294627.47057326883</v>
      </c>
      <c r="F71" s="111">
        <f t="shared" si="23"/>
        <v>349159.30433734611</v>
      </c>
      <c r="G71" s="111">
        <f t="shared" si="23"/>
        <v>344434.95815311268</v>
      </c>
      <c r="H71" s="112">
        <f t="shared" si="23"/>
        <v>461643.6904267713</v>
      </c>
    </row>
    <row r="74" spans="1:8" ht="16.2" x14ac:dyDescent="0.35">
      <c r="A74" s="29" t="s">
        <v>31</v>
      </c>
      <c r="C74" s="54" t="s">
        <v>416</v>
      </c>
      <c r="D74" s="177">
        <v>1.75</v>
      </c>
    </row>
    <row r="75" spans="1:8" x14ac:dyDescent="0.25">
      <c r="C75" s="54" t="s">
        <v>19</v>
      </c>
      <c r="D75" s="177">
        <v>1.25</v>
      </c>
    </row>
    <row r="76" spans="1:8" x14ac:dyDescent="0.25">
      <c r="C76" s="54" t="s">
        <v>353</v>
      </c>
      <c r="D76" s="177">
        <f>+(1/(1+D75*(1-B55))*D74)</f>
        <v>0.96551724137931028</v>
      </c>
    </row>
    <row r="77" spans="1:8" ht="16.2" x14ac:dyDescent="0.35">
      <c r="C77" s="54" t="s">
        <v>417</v>
      </c>
      <c r="D77" s="177">
        <f>+E22/E21</f>
        <v>2.4</v>
      </c>
    </row>
    <row r="78" spans="1:8" ht="16.2" x14ac:dyDescent="0.35">
      <c r="C78" s="54" t="s">
        <v>404</v>
      </c>
      <c r="D78" s="177">
        <f>+((1+(D77*(1-B55))))*D76</f>
        <v>2.4717241379310342</v>
      </c>
    </row>
    <row r="80" spans="1:8" x14ac:dyDescent="0.25">
      <c r="H80" s="181"/>
    </row>
    <row r="81" spans="1:4" ht="16.2" x14ac:dyDescent="0.35">
      <c r="C81" s="54" t="s">
        <v>402</v>
      </c>
      <c r="D81" s="94">
        <v>5.5E-2</v>
      </c>
    </row>
    <row r="82" spans="1:4" ht="16.2" x14ac:dyDescent="0.35">
      <c r="C82" s="54" t="s">
        <v>403</v>
      </c>
      <c r="D82" s="94">
        <v>8.5000000000000006E-2</v>
      </c>
    </row>
    <row r="84" spans="1:4" x14ac:dyDescent="0.25">
      <c r="C84" s="86" t="s">
        <v>381</v>
      </c>
      <c r="D84" s="182">
        <f>+D81+D76*D82</f>
        <v>0.13706896551724138</v>
      </c>
    </row>
    <row r="85" spans="1:4" ht="16.2" x14ac:dyDescent="0.35">
      <c r="C85" s="54" t="s">
        <v>408</v>
      </c>
      <c r="D85" s="182">
        <f>+D81+D78*D82</f>
        <v>0.26509655172413793</v>
      </c>
    </row>
    <row r="86" spans="1:4" x14ac:dyDescent="0.25">
      <c r="C86" s="86" t="s">
        <v>22</v>
      </c>
      <c r="D86" s="182">
        <f>+E22*D26*(1-B55)+E21*D85</f>
        <v>0.13302839756592291</v>
      </c>
    </row>
    <row r="89" spans="1:4" x14ac:dyDescent="0.25">
      <c r="A89" s="29" t="s">
        <v>32</v>
      </c>
      <c r="C89" s="78" t="s">
        <v>355</v>
      </c>
      <c r="D89" s="110">
        <f>+D66+NPV(D86,E66:H66)</f>
        <v>794541.51021108637</v>
      </c>
    </row>
    <row r="91" spans="1:4" x14ac:dyDescent="0.25">
      <c r="C91" s="78" t="s">
        <v>354</v>
      </c>
      <c r="D91" s="110">
        <f>+D71+NPV(D85,E71:H71)</f>
        <v>601386.21689489868</v>
      </c>
    </row>
    <row r="93" spans="1:4" x14ac:dyDescent="0.25">
      <c r="C93" s="120" t="s">
        <v>253</v>
      </c>
      <c r="D93" s="112">
        <f>SUM(D94:D95)</f>
        <v>824076.59328021435</v>
      </c>
    </row>
    <row r="94" spans="1:4" x14ac:dyDescent="0.25">
      <c r="C94" s="575" t="s">
        <v>356</v>
      </c>
      <c r="D94" s="252">
        <f>+D66+NPV(D84,E66:H66)</f>
        <v>781617.25506362831</v>
      </c>
    </row>
    <row r="95" spans="1:4" x14ac:dyDescent="0.25">
      <c r="C95" s="27" t="s">
        <v>357</v>
      </c>
      <c r="D95" s="106">
        <f>+D70+NPV(D26,E70:H70)</f>
        <v>42459.338216586097</v>
      </c>
    </row>
    <row r="96" spans="1:4" x14ac:dyDescent="0.25">
      <c r="C96" s="7"/>
    </row>
    <row r="97" spans="3:13" x14ac:dyDescent="0.25">
      <c r="C97" s="7"/>
    </row>
    <row r="98" spans="3:13" x14ac:dyDescent="0.25">
      <c r="C98" s="130"/>
      <c r="D98" s="563" t="s">
        <v>23</v>
      </c>
      <c r="E98" s="563" t="s">
        <v>0</v>
      </c>
      <c r="F98" s="563" t="s">
        <v>1</v>
      </c>
      <c r="G98" s="563" t="s">
        <v>2</v>
      </c>
      <c r="H98" s="563" t="s">
        <v>3</v>
      </c>
    </row>
    <row r="99" spans="3:13" x14ac:dyDescent="0.25">
      <c r="C99" s="262" t="s">
        <v>117</v>
      </c>
      <c r="D99" s="566"/>
      <c r="E99" s="566">
        <f>+E30*$B$55</f>
        <v>20160</v>
      </c>
      <c r="F99" s="566">
        <f t="shared" ref="F99:H99" si="24">+F30*$B$55</f>
        <v>15941.83376407729</v>
      </c>
      <c r="G99" s="566">
        <f t="shared" si="24"/>
        <v>11217.487579843857</v>
      </c>
      <c r="H99" s="566">
        <f t="shared" si="24"/>
        <v>5926.2198535024127</v>
      </c>
    </row>
    <row r="100" spans="3:13" x14ac:dyDescent="0.25">
      <c r="M100" s="7"/>
    </row>
    <row r="101" spans="3:13" x14ac:dyDescent="0.25">
      <c r="C101" s="78" t="s">
        <v>358</v>
      </c>
      <c r="D101" s="110">
        <f>NPV(D26,E99:H99)</f>
        <v>42459.338216586082</v>
      </c>
      <c r="E101" s="183"/>
      <c r="F101" s="183"/>
      <c r="G101" s="183"/>
      <c r="H101" s="88"/>
      <c r="M101" s="7"/>
    </row>
    <row r="102" spans="3:13" x14ac:dyDescent="0.25">
      <c r="C102" s="7"/>
      <c r="M102" s="7"/>
    </row>
  </sheetData>
  <sheetProtection algorithmName="SHA-512" hashValue="c23DqUSOpbzZz2c5kezoo0LXamBq6boA/EIQT8j9KKwUuiDSqGqWOmfnuHYLxR3KXNTtRNok04qavQi3deb4Og==" saltValue="ILpm4euvkyuIB8J3I1s/uQ==" spinCount="100000" sheet="1" objects="1" scenarios="1"/>
  <mergeCells count="1">
    <mergeCell ref="B1:H1"/>
  </mergeCells>
  <phoneticPr fontId="1" type="noConversion"/>
  <pageMargins left="0.7" right="0.7" top="0.75" bottom="0.75" header="0.3" footer="0.3"/>
  <pageSetup orientation="portrait" horizontalDpi="360" verticalDpi="360" r:id="rId1"/>
  <ignoredErrors>
    <ignoredError sqref="E43:H43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54"/>
  <sheetViews>
    <sheetView topLeftCell="A37" zoomScaleNormal="100" workbookViewId="0">
      <selection activeCell="C45" sqref="C45"/>
    </sheetView>
  </sheetViews>
  <sheetFormatPr baseColWidth="10" defaultRowHeight="13.8" x14ac:dyDescent="0.25"/>
  <cols>
    <col min="1" max="1" width="24.88671875" style="86" customWidth="1"/>
    <col min="2" max="2" width="27.33203125" style="86" customWidth="1"/>
    <col min="3" max="3" width="12.5546875" style="86" customWidth="1"/>
    <col min="4" max="4" width="11.44140625" style="86"/>
    <col min="5" max="5" width="15" style="86" customWidth="1"/>
    <col min="6" max="7" width="11.6640625" style="86" bestFit="1" customWidth="1"/>
    <col min="8" max="8" width="12.33203125" style="86" bestFit="1" customWidth="1"/>
    <col min="9" max="9" width="12.88671875" style="86" customWidth="1"/>
    <col min="10" max="10" width="12.6640625" style="86" bestFit="1" customWidth="1"/>
    <col min="11" max="11" width="11.44140625" style="86"/>
    <col min="12" max="12" width="12.33203125" style="86" customWidth="1"/>
    <col min="13" max="13" width="12.88671875" style="86" customWidth="1"/>
    <col min="14" max="14" width="12.33203125" style="86" customWidth="1"/>
    <col min="15" max="15" width="12.6640625" style="86" customWidth="1"/>
    <col min="16" max="16" width="12.33203125" style="86" customWidth="1"/>
    <col min="17" max="257" width="11.44140625" style="86"/>
    <col min="258" max="258" width="29.44140625" style="86" customWidth="1"/>
    <col min="259" max="259" width="12.5546875" style="86" customWidth="1"/>
    <col min="260" max="260" width="11.44140625" style="86"/>
    <col min="261" max="261" width="15" style="86" customWidth="1"/>
    <col min="262" max="263" width="11.6640625" style="86" bestFit="1" customWidth="1"/>
    <col min="264" max="264" width="12.33203125" style="86" bestFit="1" customWidth="1"/>
    <col min="265" max="265" width="12.88671875" style="86" customWidth="1"/>
    <col min="266" max="266" width="12.6640625" style="86" bestFit="1" customWidth="1"/>
    <col min="267" max="267" width="11.44140625" style="86"/>
    <col min="268" max="268" width="12.33203125" style="86" customWidth="1"/>
    <col min="269" max="269" width="12.88671875" style="86" customWidth="1"/>
    <col min="270" max="270" width="12.33203125" style="86" customWidth="1"/>
    <col min="271" max="271" width="12.6640625" style="86" customWidth="1"/>
    <col min="272" max="272" width="12.33203125" style="86" customWidth="1"/>
    <col min="273" max="513" width="11.44140625" style="86"/>
    <col min="514" max="514" width="29.44140625" style="86" customWidth="1"/>
    <col min="515" max="515" width="12.5546875" style="86" customWidth="1"/>
    <col min="516" max="516" width="11.44140625" style="86"/>
    <col min="517" max="517" width="15" style="86" customWidth="1"/>
    <col min="518" max="519" width="11.6640625" style="86" bestFit="1" customWidth="1"/>
    <col min="520" max="520" width="12.33203125" style="86" bestFit="1" customWidth="1"/>
    <col min="521" max="521" width="12.88671875" style="86" customWidth="1"/>
    <col min="522" max="522" width="12.6640625" style="86" bestFit="1" customWidth="1"/>
    <col min="523" max="523" width="11.44140625" style="86"/>
    <col min="524" max="524" width="12.33203125" style="86" customWidth="1"/>
    <col min="525" max="525" width="12.88671875" style="86" customWidth="1"/>
    <col min="526" max="526" width="12.33203125" style="86" customWidth="1"/>
    <col min="527" max="527" width="12.6640625" style="86" customWidth="1"/>
    <col min="528" max="528" width="12.33203125" style="86" customWidth="1"/>
    <col min="529" max="769" width="11.44140625" style="86"/>
    <col min="770" max="770" width="29.44140625" style="86" customWidth="1"/>
    <col min="771" max="771" width="12.5546875" style="86" customWidth="1"/>
    <col min="772" max="772" width="11.44140625" style="86"/>
    <col min="773" max="773" width="15" style="86" customWidth="1"/>
    <col min="774" max="775" width="11.6640625" style="86" bestFit="1" customWidth="1"/>
    <col min="776" max="776" width="12.33203125" style="86" bestFit="1" customWidth="1"/>
    <col min="777" max="777" width="12.88671875" style="86" customWidth="1"/>
    <col min="778" max="778" width="12.6640625" style="86" bestFit="1" customWidth="1"/>
    <col min="779" max="779" width="11.44140625" style="86"/>
    <col min="780" max="780" width="12.33203125" style="86" customWidth="1"/>
    <col min="781" max="781" width="12.88671875" style="86" customWidth="1"/>
    <col min="782" max="782" width="12.33203125" style="86" customWidth="1"/>
    <col min="783" max="783" width="12.6640625" style="86" customWidth="1"/>
    <col min="784" max="784" width="12.33203125" style="86" customWidth="1"/>
    <col min="785" max="1025" width="11.44140625" style="86"/>
    <col min="1026" max="1026" width="29.44140625" style="86" customWidth="1"/>
    <col min="1027" max="1027" width="12.5546875" style="86" customWidth="1"/>
    <col min="1028" max="1028" width="11.44140625" style="86"/>
    <col min="1029" max="1029" width="15" style="86" customWidth="1"/>
    <col min="1030" max="1031" width="11.6640625" style="86" bestFit="1" customWidth="1"/>
    <col min="1032" max="1032" width="12.33203125" style="86" bestFit="1" customWidth="1"/>
    <col min="1033" max="1033" width="12.88671875" style="86" customWidth="1"/>
    <col min="1034" max="1034" width="12.6640625" style="86" bestFit="1" customWidth="1"/>
    <col min="1035" max="1035" width="11.44140625" style="86"/>
    <col min="1036" max="1036" width="12.33203125" style="86" customWidth="1"/>
    <col min="1037" max="1037" width="12.88671875" style="86" customWidth="1"/>
    <col min="1038" max="1038" width="12.33203125" style="86" customWidth="1"/>
    <col min="1039" max="1039" width="12.6640625" style="86" customWidth="1"/>
    <col min="1040" max="1040" width="12.33203125" style="86" customWidth="1"/>
    <col min="1041" max="1281" width="11.44140625" style="86"/>
    <col min="1282" max="1282" width="29.44140625" style="86" customWidth="1"/>
    <col min="1283" max="1283" width="12.5546875" style="86" customWidth="1"/>
    <col min="1284" max="1284" width="11.44140625" style="86"/>
    <col min="1285" max="1285" width="15" style="86" customWidth="1"/>
    <col min="1286" max="1287" width="11.6640625" style="86" bestFit="1" customWidth="1"/>
    <col min="1288" max="1288" width="12.33203125" style="86" bestFit="1" customWidth="1"/>
    <col min="1289" max="1289" width="12.88671875" style="86" customWidth="1"/>
    <col min="1290" max="1290" width="12.6640625" style="86" bestFit="1" customWidth="1"/>
    <col min="1291" max="1291" width="11.44140625" style="86"/>
    <col min="1292" max="1292" width="12.33203125" style="86" customWidth="1"/>
    <col min="1293" max="1293" width="12.88671875" style="86" customWidth="1"/>
    <col min="1294" max="1294" width="12.33203125" style="86" customWidth="1"/>
    <col min="1295" max="1295" width="12.6640625" style="86" customWidth="1"/>
    <col min="1296" max="1296" width="12.33203125" style="86" customWidth="1"/>
    <col min="1297" max="1537" width="11.44140625" style="86"/>
    <col min="1538" max="1538" width="29.44140625" style="86" customWidth="1"/>
    <col min="1539" max="1539" width="12.5546875" style="86" customWidth="1"/>
    <col min="1540" max="1540" width="11.44140625" style="86"/>
    <col min="1541" max="1541" width="15" style="86" customWidth="1"/>
    <col min="1542" max="1543" width="11.6640625" style="86" bestFit="1" customWidth="1"/>
    <col min="1544" max="1544" width="12.33203125" style="86" bestFit="1" customWidth="1"/>
    <col min="1545" max="1545" width="12.88671875" style="86" customWidth="1"/>
    <col min="1546" max="1546" width="12.6640625" style="86" bestFit="1" customWidth="1"/>
    <col min="1547" max="1547" width="11.44140625" style="86"/>
    <col min="1548" max="1548" width="12.33203125" style="86" customWidth="1"/>
    <col min="1549" max="1549" width="12.88671875" style="86" customWidth="1"/>
    <col min="1550" max="1550" width="12.33203125" style="86" customWidth="1"/>
    <col min="1551" max="1551" width="12.6640625" style="86" customWidth="1"/>
    <col min="1552" max="1552" width="12.33203125" style="86" customWidth="1"/>
    <col min="1553" max="1793" width="11.44140625" style="86"/>
    <col min="1794" max="1794" width="29.44140625" style="86" customWidth="1"/>
    <col min="1795" max="1795" width="12.5546875" style="86" customWidth="1"/>
    <col min="1796" max="1796" width="11.44140625" style="86"/>
    <col min="1797" max="1797" width="15" style="86" customWidth="1"/>
    <col min="1798" max="1799" width="11.6640625" style="86" bestFit="1" customWidth="1"/>
    <col min="1800" max="1800" width="12.33203125" style="86" bestFit="1" customWidth="1"/>
    <col min="1801" max="1801" width="12.88671875" style="86" customWidth="1"/>
    <col min="1802" max="1802" width="12.6640625" style="86" bestFit="1" customWidth="1"/>
    <col min="1803" max="1803" width="11.44140625" style="86"/>
    <col min="1804" max="1804" width="12.33203125" style="86" customWidth="1"/>
    <col min="1805" max="1805" width="12.88671875" style="86" customWidth="1"/>
    <col min="1806" max="1806" width="12.33203125" style="86" customWidth="1"/>
    <col min="1807" max="1807" width="12.6640625" style="86" customWidth="1"/>
    <col min="1808" max="1808" width="12.33203125" style="86" customWidth="1"/>
    <col min="1809" max="2049" width="11.44140625" style="86"/>
    <col min="2050" max="2050" width="29.44140625" style="86" customWidth="1"/>
    <col min="2051" max="2051" width="12.5546875" style="86" customWidth="1"/>
    <col min="2052" max="2052" width="11.44140625" style="86"/>
    <col min="2053" max="2053" width="15" style="86" customWidth="1"/>
    <col min="2054" max="2055" width="11.6640625" style="86" bestFit="1" customWidth="1"/>
    <col min="2056" max="2056" width="12.33203125" style="86" bestFit="1" customWidth="1"/>
    <col min="2057" max="2057" width="12.88671875" style="86" customWidth="1"/>
    <col min="2058" max="2058" width="12.6640625" style="86" bestFit="1" customWidth="1"/>
    <col min="2059" max="2059" width="11.44140625" style="86"/>
    <col min="2060" max="2060" width="12.33203125" style="86" customWidth="1"/>
    <col min="2061" max="2061" width="12.88671875" style="86" customWidth="1"/>
    <col min="2062" max="2062" width="12.33203125" style="86" customWidth="1"/>
    <col min="2063" max="2063" width="12.6640625" style="86" customWidth="1"/>
    <col min="2064" max="2064" width="12.33203125" style="86" customWidth="1"/>
    <col min="2065" max="2305" width="11.44140625" style="86"/>
    <col min="2306" max="2306" width="29.44140625" style="86" customWidth="1"/>
    <col min="2307" max="2307" width="12.5546875" style="86" customWidth="1"/>
    <col min="2308" max="2308" width="11.44140625" style="86"/>
    <col min="2309" max="2309" width="15" style="86" customWidth="1"/>
    <col min="2310" max="2311" width="11.6640625" style="86" bestFit="1" customWidth="1"/>
    <col min="2312" max="2312" width="12.33203125" style="86" bestFit="1" customWidth="1"/>
    <col min="2313" max="2313" width="12.88671875" style="86" customWidth="1"/>
    <col min="2314" max="2314" width="12.6640625" style="86" bestFit="1" customWidth="1"/>
    <col min="2315" max="2315" width="11.44140625" style="86"/>
    <col min="2316" max="2316" width="12.33203125" style="86" customWidth="1"/>
    <col min="2317" max="2317" width="12.88671875" style="86" customWidth="1"/>
    <col min="2318" max="2318" width="12.33203125" style="86" customWidth="1"/>
    <col min="2319" max="2319" width="12.6640625" style="86" customWidth="1"/>
    <col min="2320" max="2320" width="12.33203125" style="86" customWidth="1"/>
    <col min="2321" max="2561" width="11.44140625" style="86"/>
    <col min="2562" max="2562" width="29.44140625" style="86" customWidth="1"/>
    <col min="2563" max="2563" width="12.5546875" style="86" customWidth="1"/>
    <col min="2564" max="2564" width="11.44140625" style="86"/>
    <col min="2565" max="2565" width="15" style="86" customWidth="1"/>
    <col min="2566" max="2567" width="11.6640625" style="86" bestFit="1" customWidth="1"/>
    <col min="2568" max="2568" width="12.33203125" style="86" bestFit="1" customWidth="1"/>
    <col min="2569" max="2569" width="12.88671875" style="86" customWidth="1"/>
    <col min="2570" max="2570" width="12.6640625" style="86" bestFit="1" customWidth="1"/>
    <col min="2571" max="2571" width="11.44140625" style="86"/>
    <col min="2572" max="2572" width="12.33203125" style="86" customWidth="1"/>
    <col min="2573" max="2573" width="12.88671875" style="86" customWidth="1"/>
    <col min="2574" max="2574" width="12.33203125" style="86" customWidth="1"/>
    <col min="2575" max="2575" width="12.6640625" style="86" customWidth="1"/>
    <col min="2576" max="2576" width="12.33203125" style="86" customWidth="1"/>
    <col min="2577" max="2817" width="11.44140625" style="86"/>
    <col min="2818" max="2818" width="29.44140625" style="86" customWidth="1"/>
    <col min="2819" max="2819" width="12.5546875" style="86" customWidth="1"/>
    <col min="2820" max="2820" width="11.44140625" style="86"/>
    <col min="2821" max="2821" width="15" style="86" customWidth="1"/>
    <col min="2822" max="2823" width="11.6640625" style="86" bestFit="1" customWidth="1"/>
    <col min="2824" max="2824" width="12.33203125" style="86" bestFit="1" customWidth="1"/>
    <col min="2825" max="2825" width="12.88671875" style="86" customWidth="1"/>
    <col min="2826" max="2826" width="12.6640625" style="86" bestFit="1" customWidth="1"/>
    <col min="2827" max="2827" width="11.44140625" style="86"/>
    <col min="2828" max="2828" width="12.33203125" style="86" customWidth="1"/>
    <col min="2829" max="2829" width="12.88671875" style="86" customWidth="1"/>
    <col min="2830" max="2830" width="12.33203125" style="86" customWidth="1"/>
    <col min="2831" max="2831" width="12.6640625" style="86" customWidth="1"/>
    <col min="2832" max="2832" width="12.33203125" style="86" customWidth="1"/>
    <col min="2833" max="3073" width="11.44140625" style="86"/>
    <col min="3074" max="3074" width="29.44140625" style="86" customWidth="1"/>
    <col min="3075" max="3075" width="12.5546875" style="86" customWidth="1"/>
    <col min="3076" max="3076" width="11.44140625" style="86"/>
    <col min="3077" max="3077" width="15" style="86" customWidth="1"/>
    <col min="3078" max="3079" width="11.6640625" style="86" bestFit="1" customWidth="1"/>
    <col min="3080" max="3080" width="12.33203125" style="86" bestFit="1" customWidth="1"/>
    <col min="3081" max="3081" width="12.88671875" style="86" customWidth="1"/>
    <col min="3082" max="3082" width="12.6640625" style="86" bestFit="1" customWidth="1"/>
    <col min="3083" max="3083" width="11.44140625" style="86"/>
    <col min="3084" max="3084" width="12.33203125" style="86" customWidth="1"/>
    <col min="3085" max="3085" width="12.88671875" style="86" customWidth="1"/>
    <col min="3086" max="3086" width="12.33203125" style="86" customWidth="1"/>
    <col min="3087" max="3087" width="12.6640625" style="86" customWidth="1"/>
    <col min="3088" max="3088" width="12.33203125" style="86" customWidth="1"/>
    <col min="3089" max="3329" width="11.44140625" style="86"/>
    <col min="3330" max="3330" width="29.44140625" style="86" customWidth="1"/>
    <col min="3331" max="3331" width="12.5546875" style="86" customWidth="1"/>
    <col min="3332" max="3332" width="11.44140625" style="86"/>
    <col min="3333" max="3333" width="15" style="86" customWidth="1"/>
    <col min="3334" max="3335" width="11.6640625" style="86" bestFit="1" customWidth="1"/>
    <col min="3336" max="3336" width="12.33203125" style="86" bestFit="1" customWidth="1"/>
    <col min="3337" max="3337" width="12.88671875" style="86" customWidth="1"/>
    <col min="3338" max="3338" width="12.6640625" style="86" bestFit="1" customWidth="1"/>
    <col min="3339" max="3339" width="11.44140625" style="86"/>
    <col min="3340" max="3340" width="12.33203125" style="86" customWidth="1"/>
    <col min="3341" max="3341" width="12.88671875" style="86" customWidth="1"/>
    <col min="3342" max="3342" width="12.33203125" style="86" customWidth="1"/>
    <col min="3343" max="3343" width="12.6640625" style="86" customWidth="1"/>
    <col min="3344" max="3344" width="12.33203125" style="86" customWidth="1"/>
    <col min="3345" max="3585" width="11.44140625" style="86"/>
    <col min="3586" max="3586" width="29.44140625" style="86" customWidth="1"/>
    <col min="3587" max="3587" width="12.5546875" style="86" customWidth="1"/>
    <col min="3588" max="3588" width="11.44140625" style="86"/>
    <col min="3589" max="3589" width="15" style="86" customWidth="1"/>
    <col min="3590" max="3591" width="11.6640625" style="86" bestFit="1" customWidth="1"/>
    <col min="3592" max="3592" width="12.33203125" style="86" bestFit="1" customWidth="1"/>
    <col min="3593" max="3593" width="12.88671875" style="86" customWidth="1"/>
    <col min="3594" max="3594" width="12.6640625" style="86" bestFit="1" customWidth="1"/>
    <col min="3595" max="3595" width="11.44140625" style="86"/>
    <col min="3596" max="3596" width="12.33203125" style="86" customWidth="1"/>
    <col min="3597" max="3597" width="12.88671875" style="86" customWidth="1"/>
    <col min="3598" max="3598" width="12.33203125" style="86" customWidth="1"/>
    <col min="3599" max="3599" width="12.6640625" style="86" customWidth="1"/>
    <col min="3600" max="3600" width="12.33203125" style="86" customWidth="1"/>
    <col min="3601" max="3841" width="11.44140625" style="86"/>
    <col min="3842" max="3842" width="29.44140625" style="86" customWidth="1"/>
    <col min="3843" max="3843" width="12.5546875" style="86" customWidth="1"/>
    <col min="3844" max="3844" width="11.44140625" style="86"/>
    <col min="3845" max="3845" width="15" style="86" customWidth="1"/>
    <col min="3846" max="3847" width="11.6640625" style="86" bestFit="1" customWidth="1"/>
    <col min="3848" max="3848" width="12.33203125" style="86" bestFit="1" customWidth="1"/>
    <col min="3849" max="3849" width="12.88671875" style="86" customWidth="1"/>
    <col min="3850" max="3850" width="12.6640625" style="86" bestFit="1" customWidth="1"/>
    <col min="3851" max="3851" width="11.44140625" style="86"/>
    <col min="3852" max="3852" width="12.33203125" style="86" customWidth="1"/>
    <col min="3853" max="3853" width="12.88671875" style="86" customWidth="1"/>
    <col min="3854" max="3854" width="12.33203125" style="86" customWidth="1"/>
    <col min="3855" max="3855" width="12.6640625" style="86" customWidth="1"/>
    <col min="3856" max="3856" width="12.33203125" style="86" customWidth="1"/>
    <col min="3857" max="4097" width="11.44140625" style="86"/>
    <col min="4098" max="4098" width="29.44140625" style="86" customWidth="1"/>
    <col min="4099" max="4099" width="12.5546875" style="86" customWidth="1"/>
    <col min="4100" max="4100" width="11.44140625" style="86"/>
    <col min="4101" max="4101" width="15" style="86" customWidth="1"/>
    <col min="4102" max="4103" width="11.6640625" style="86" bestFit="1" customWidth="1"/>
    <col min="4104" max="4104" width="12.33203125" style="86" bestFit="1" customWidth="1"/>
    <col min="4105" max="4105" width="12.88671875" style="86" customWidth="1"/>
    <col min="4106" max="4106" width="12.6640625" style="86" bestFit="1" customWidth="1"/>
    <col min="4107" max="4107" width="11.44140625" style="86"/>
    <col min="4108" max="4108" width="12.33203125" style="86" customWidth="1"/>
    <col min="4109" max="4109" width="12.88671875" style="86" customWidth="1"/>
    <col min="4110" max="4110" width="12.33203125" style="86" customWidth="1"/>
    <col min="4111" max="4111" width="12.6640625" style="86" customWidth="1"/>
    <col min="4112" max="4112" width="12.33203125" style="86" customWidth="1"/>
    <col min="4113" max="4353" width="11.44140625" style="86"/>
    <col min="4354" max="4354" width="29.44140625" style="86" customWidth="1"/>
    <col min="4355" max="4355" width="12.5546875" style="86" customWidth="1"/>
    <col min="4356" max="4356" width="11.44140625" style="86"/>
    <col min="4357" max="4357" width="15" style="86" customWidth="1"/>
    <col min="4358" max="4359" width="11.6640625" style="86" bestFit="1" customWidth="1"/>
    <col min="4360" max="4360" width="12.33203125" style="86" bestFit="1" customWidth="1"/>
    <col min="4361" max="4361" width="12.88671875" style="86" customWidth="1"/>
    <col min="4362" max="4362" width="12.6640625" style="86" bestFit="1" customWidth="1"/>
    <col min="4363" max="4363" width="11.44140625" style="86"/>
    <col min="4364" max="4364" width="12.33203125" style="86" customWidth="1"/>
    <col min="4365" max="4365" width="12.88671875" style="86" customWidth="1"/>
    <col min="4366" max="4366" width="12.33203125" style="86" customWidth="1"/>
    <col min="4367" max="4367" width="12.6640625" style="86" customWidth="1"/>
    <col min="4368" max="4368" width="12.33203125" style="86" customWidth="1"/>
    <col min="4369" max="4609" width="11.44140625" style="86"/>
    <col min="4610" max="4610" width="29.44140625" style="86" customWidth="1"/>
    <col min="4611" max="4611" width="12.5546875" style="86" customWidth="1"/>
    <col min="4612" max="4612" width="11.44140625" style="86"/>
    <col min="4613" max="4613" width="15" style="86" customWidth="1"/>
    <col min="4614" max="4615" width="11.6640625" style="86" bestFit="1" customWidth="1"/>
    <col min="4616" max="4616" width="12.33203125" style="86" bestFit="1" customWidth="1"/>
    <col min="4617" max="4617" width="12.88671875" style="86" customWidth="1"/>
    <col min="4618" max="4618" width="12.6640625" style="86" bestFit="1" customWidth="1"/>
    <col min="4619" max="4619" width="11.44140625" style="86"/>
    <col min="4620" max="4620" width="12.33203125" style="86" customWidth="1"/>
    <col min="4621" max="4621" width="12.88671875" style="86" customWidth="1"/>
    <col min="4622" max="4622" width="12.33203125" style="86" customWidth="1"/>
    <col min="4623" max="4623" width="12.6640625" style="86" customWidth="1"/>
    <col min="4624" max="4624" width="12.33203125" style="86" customWidth="1"/>
    <col min="4625" max="4865" width="11.44140625" style="86"/>
    <col min="4866" max="4866" width="29.44140625" style="86" customWidth="1"/>
    <col min="4867" max="4867" width="12.5546875" style="86" customWidth="1"/>
    <col min="4868" max="4868" width="11.44140625" style="86"/>
    <col min="4869" max="4869" width="15" style="86" customWidth="1"/>
    <col min="4870" max="4871" width="11.6640625" style="86" bestFit="1" customWidth="1"/>
    <col min="4872" max="4872" width="12.33203125" style="86" bestFit="1" customWidth="1"/>
    <col min="4873" max="4873" width="12.88671875" style="86" customWidth="1"/>
    <col min="4874" max="4874" width="12.6640625" style="86" bestFit="1" customWidth="1"/>
    <col min="4875" max="4875" width="11.44140625" style="86"/>
    <col min="4876" max="4876" width="12.33203125" style="86" customWidth="1"/>
    <col min="4877" max="4877" width="12.88671875" style="86" customWidth="1"/>
    <col min="4878" max="4878" width="12.33203125" style="86" customWidth="1"/>
    <col min="4879" max="4879" width="12.6640625" style="86" customWidth="1"/>
    <col min="4880" max="4880" width="12.33203125" style="86" customWidth="1"/>
    <col min="4881" max="5121" width="11.44140625" style="86"/>
    <col min="5122" max="5122" width="29.44140625" style="86" customWidth="1"/>
    <col min="5123" max="5123" width="12.5546875" style="86" customWidth="1"/>
    <col min="5124" max="5124" width="11.44140625" style="86"/>
    <col min="5125" max="5125" width="15" style="86" customWidth="1"/>
    <col min="5126" max="5127" width="11.6640625" style="86" bestFit="1" customWidth="1"/>
    <col min="5128" max="5128" width="12.33203125" style="86" bestFit="1" customWidth="1"/>
    <col min="5129" max="5129" width="12.88671875" style="86" customWidth="1"/>
    <col min="5130" max="5130" width="12.6640625" style="86" bestFit="1" customWidth="1"/>
    <col min="5131" max="5131" width="11.44140625" style="86"/>
    <col min="5132" max="5132" width="12.33203125" style="86" customWidth="1"/>
    <col min="5133" max="5133" width="12.88671875" style="86" customWidth="1"/>
    <col min="5134" max="5134" width="12.33203125" style="86" customWidth="1"/>
    <col min="5135" max="5135" width="12.6640625" style="86" customWidth="1"/>
    <col min="5136" max="5136" width="12.33203125" style="86" customWidth="1"/>
    <col min="5137" max="5377" width="11.44140625" style="86"/>
    <col min="5378" max="5378" width="29.44140625" style="86" customWidth="1"/>
    <col min="5379" max="5379" width="12.5546875" style="86" customWidth="1"/>
    <col min="5380" max="5380" width="11.44140625" style="86"/>
    <col min="5381" max="5381" width="15" style="86" customWidth="1"/>
    <col min="5382" max="5383" width="11.6640625" style="86" bestFit="1" customWidth="1"/>
    <col min="5384" max="5384" width="12.33203125" style="86" bestFit="1" customWidth="1"/>
    <col min="5385" max="5385" width="12.88671875" style="86" customWidth="1"/>
    <col min="5386" max="5386" width="12.6640625" style="86" bestFit="1" customWidth="1"/>
    <col min="5387" max="5387" width="11.44140625" style="86"/>
    <col min="5388" max="5388" width="12.33203125" style="86" customWidth="1"/>
    <col min="5389" max="5389" width="12.88671875" style="86" customWidth="1"/>
    <col min="5390" max="5390" width="12.33203125" style="86" customWidth="1"/>
    <col min="5391" max="5391" width="12.6640625" style="86" customWidth="1"/>
    <col min="5392" max="5392" width="12.33203125" style="86" customWidth="1"/>
    <col min="5393" max="5633" width="11.44140625" style="86"/>
    <col min="5634" max="5634" width="29.44140625" style="86" customWidth="1"/>
    <col min="5635" max="5635" width="12.5546875" style="86" customWidth="1"/>
    <col min="5636" max="5636" width="11.44140625" style="86"/>
    <col min="5637" max="5637" width="15" style="86" customWidth="1"/>
    <col min="5638" max="5639" width="11.6640625" style="86" bestFit="1" customWidth="1"/>
    <col min="5640" max="5640" width="12.33203125" style="86" bestFit="1" customWidth="1"/>
    <col min="5641" max="5641" width="12.88671875" style="86" customWidth="1"/>
    <col min="5642" max="5642" width="12.6640625" style="86" bestFit="1" customWidth="1"/>
    <col min="5643" max="5643" width="11.44140625" style="86"/>
    <col min="5644" max="5644" width="12.33203125" style="86" customWidth="1"/>
    <col min="5645" max="5645" width="12.88671875" style="86" customWidth="1"/>
    <col min="5646" max="5646" width="12.33203125" style="86" customWidth="1"/>
    <col min="5647" max="5647" width="12.6640625" style="86" customWidth="1"/>
    <col min="5648" max="5648" width="12.33203125" style="86" customWidth="1"/>
    <col min="5649" max="5889" width="11.44140625" style="86"/>
    <col min="5890" max="5890" width="29.44140625" style="86" customWidth="1"/>
    <col min="5891" max="5891" width="12.5546875" style="86" customWidth="1"/>
    <col min="5892" max="5892" width="11.44140625" style="86"/>
    <col min="5893" max="5893" width="15" style="86" customWidth="1"/>
    <col min="5894" max="5895" width="11.6640625" style="86" bestFit="1" customWidth="1"/>
    <col min="5896" max="5896" width="12.33203125" style="86" bestFit="1" customWidth="1"/>
    <col min="5897" max="5897" width="12.88671875" style="86" customWidth="1"/>
    <col min="5898" max="5898" width="12.6640625" style="86" bestFit="1" customWidth="1"/>
    <col min="5899" max="5899" width="11.44140625" style="86"/>
    <col min="5900" max="5900" width="12.33203125" style="86" customWidth="1"/>
    <col min="5901" max="5901" width="12.88671875" style="86" customWidth="1"/>
    <col min="5902" max="5902" width="12.33203125" style="86" customWidth="1"/>
    <col min="5903" max="5903" width="12.6640625" style="86" customWidth="1"/>
    <col min="5904" max="5904" width="12.33203125" style="86" customWidth="1"/>
    <col min="5905" max="6145" width="11.44140625" style="86"/>
    <col min="6146" max="6146" width="29.44140625" style="86" customWidth="1"/>
    <col min="6147" max="6147" width="12.5546875" style="86" customWidth="1"/>
    <col min="6148" max="6148" width="11.44140625" style="86"/>
    <col min="6149" max="6149" width="15" style="86" customWidth="1"/>
    <col min="6150" max="6151" width="11.6640625" style="86" bestFit="1" customWidth="1"/>
    <col min="6152" max="6152" width="12.33203125" style="86" bestFit="1" customWidth="1"/>
    <col min="6153" max="6153" width="12.88671875" style="86" customWidth="1"/>
    <col min="6154" max="6154" width="12.6640625" style="86" bestFit="1" customWidth="1"/>
    <col min="6155" max="6155" width="11.44140625" style="86"/>
    <col min="6156" max="6156" width="12.33203125" style="86" customWidth="1"/>
    <col min="6157" max="6157" width="12.88671875" style="86" customWidth="1"/>
    <col min="6158" max="6158" width="12.33203125" style="86" customWidth="1"/>
    <col min="6159" max="6159" width="12.6640625" style="86" customWidth="1"/>
    <col min="6160" max="6160" width="12.33203125" style="86" customWidth="1"/>
    <col min="6161" max="6401" width="11.44140625" style="86"/>
    <col min="6402" max="6402" width="29.44140625" style="86" customWidth="1"/>
    <col min="6403" max="6403" width="12.5546875" style="86" customWidth="1"/>
    <col min="6404" max="6404" width="11.44140625" style="86"/>
    <col min="6405" max="6405" width="15" style="86" customWidth="1"/>
    <col min="6406" max="6407" width="11.6640625" style="86" bestFit="1" customWidth="1"/>
    <col min="6408" max="6408" width="12.33203125" style="86" bestFit="1" customWidth="1"/>
    <col min="6409" max="6409" width="12.88671875" style="86" customWidth="1"/>
    <col min="6410" max="6410" width="12.6640625" style="86" bestFit="1" customWidth="1"/>
    <col min="6411" max="6411" width="11.44140625" style="86"/>
    <col min="6412" max="6412" width="12.33203125" style="86" customWidth="1"/>
    <col min="6413" max="6413" width="12.88671875" style="86" customWidth="1"/>
    <col min="6414" max="6414" width="12.33203125" style="86" customWidth="1"/>
    <col min="6415" max="6415" width="12.6640625" style="86" customWidth="1"/>
    <col min="6416" max="6416" width="12.33203125" style="86" customWidth="1"/>
    <col min="6417" max="6657" width="11.44140625" style="86"/>
    <col min="6658" max="6658" width="29.44140625" style="86" customWidth="1"/>
    <col min="6659" max="6659" width="12.5546875" style="86" customWidth="1"/>
    <col min="6660" max="6660" width="11.44140625" style="86"/>
    <col min="6661" max="6661" width="15" style="86" customWidth="1"/>
    <col min="6662" max="6663" width="11.6640625" style="86" bestFit="1" customWidth="1"/>
    <col min="6664" max="6664" width="12.33203125" style="86" bestFit="1" customWidth="1"/>
    <col min="6665" max="6665" width="12.88671875" style="86" customWidth="1"/>
    <col min="6666" max="6666" width="12.6640625" style="86" bestFit="1" customWidth="1"/>
    <col min="6667" max="6667" width="11.44140625" style="86"/>
    <col min="6668" max="6668" width="12.33203125" style="86" customWidth="1"/>
    <col min="6669" max="6669" width="12.88671875" style="86" customWidth="1"/>
    <col min="6670" max="6670" width="12.33203125" style="86" customWidth="1"/>
    <col min="6671" max="6671" width="12.6640625" style="86" customWidth="1"/>
    <col min="6672" max="6672" width="12.33203125" style="86" customWidth="1"/>
    <col min="6673" max="6913" width="11.44140625" style="86"/>
    <col min="6914" max="6914" width="29.44140625" style="86" customWidth="1"/>
    <col min="6915" max="6915" width="12.5546875" style="86" customWidth="1"/>
    <col min="6916" max="6916" width="11.44140625" style="86"/>
    <col min="6917" max="6917" width="15" style="86" customWidth="1"/>
    <col min="6918" max="6919" width="11.6640625" style="86" bestFit="1" customWidth="1"/>
    <col min="6920" max="6920" width="12.33203125" style="86" bestFit="1" customWidth="1"/>
    <col min="6921" max="6921" width="12.88671875" style="86" customWidth="1"/>
    <col min="6922" max="6922" width="12.6640625" style="86" bestFit="1" customWidth="1"/>
    <col min="6923" max="6923" width="11.44140625" style="86"/>
    <col min="6924" max="6924" width="12.33203125" style="86" customWidth="1"/>
    <col min="6925" max="6925" width="12.88671875" style="86" customWidth="1"/>
    <col min="6926" max="6926" width="12.33203125" style="86" customWidth="1"/>
    <col min="6927" max="6927" width="12.6640625" style="86" customWidth="1"/>
    <col min="6928" max="6928" width="12.33203125" style="86" customWidth="1"/>
    <col min="6929" max="7169" width="11.44140625" style="86"/>
    <col min="7170" max="7170" width="29.44140625" style="86" customWidth="1"/>
    <col min="7171" max="7171" width="12.5546875" style="86" customWidth="1"/>
    <col min="7172" max="7172" width="11.44140625" style="86"/>
    <col min="7173" max="7173" width="15" style="86" customWidth="1"/>
    <col min="7174" max="7175" width="11.6640625" style="86" bestFit="1" customWidth="1"/>
    <col min="7176" max="7176" width="12.33203125" style="86" bestFit="1" customWidth="1"/>
    <col min="7177" max="7177" width="12.88671875" style="86" customWidth="1"/>
    <col min="7178" max="7178" width="12.6640625" style="86" bestFit="1" customWidth="1"/>
    <col min="7179" max="7179" width="11.44140625" style="86"/>
    <col min="7180" max="7180" width="12.33203125" style="86" customWidth="1"/>
    <col min="7181" max="7181" width="12.88671875" style="86" customWidth="1"/>
    <col min="7182" max="7182" width="12.33203125" style="86" customWidth="1"/>
    <col min="7183" max="7183" width="12.6640625" style="86" customWidth="1"/>
    <col min="7184" max="7184" width="12.33203125" style="86" customWidth="1"/>
    <col min="7185" max="7425" width="11.44140625" style="86"/>
    <col min="7426" max="7426" width="29.44140625" style="86" customWidth="1"/>
    <col min="7427" max="7427" width="12.5546875" style="86" customWidth="1"/>
    <col min="7428" max="7428" width="11.44140625" style="86"/>
    <col min="7429" max="7429" width="15" style="86" customWidth="1"/>
    <col min="7430" max="7431" width="11.6640625" style="86" bestFit="1" customWidth="1"/>
    <col min="7432" max="7432" width="12.33203125" style="86" bestFit="1" customWidth="1"/>
    <col min="7433" max="7433" width="12.88671875" style="86" customWidth="1"/>
    <col min="7434" max="7434" width="12.6640625" style="86" bestFit="1" customWidth="1"/>
    <col min="7435" max="7435" width="11.44140625" style="86"/>
    <col min="7436" max="7436" width="12.33203125" style="86" customWidth="1"/>
    <col min="7437" max="7437" width="12.88671875" style="86" customWidth="1"/>
    <col min="7438" max="7438" width="12.33203125" style="86" customWidth="1"/>
    <col min="7439" max="7439" width="12.6640625" style="86" customWidth="1"/>
    <col min="7440" max="7440" width="12.33203125" style="86" customWidth="1"/>
    <col min="7441" max="7681" width="11.44140625" style="86"/>
    <col min="7682" max="7682" width="29.44140625" style="86" customWidth="1"/>
    <col min="7683" max="7683" width="12.5546875" style="86" customWidth="1"/>
    <col min="7684" max="7684" width="11.44140625" style="86"/>
    <col min="7685" max="7685" width="15" style="86" customWidth="1"/>
    <col min="7686" max="7687" width="11.6640625" style="86" bestFit="1" customWidth="1"/>
    <col min="7688" max="7688" width="12.33203125" style="86" bestFit="1" customWidth="1"/>
    <col min="7689" max="7689" width="12.88671875" style="86" customWidth="1"/>
    <col min="7690" max="7690" width="12.6640625" style="86" bestFit="1" customWidth="1"/>
    <col min="7691" max="7691" width="11.44140625" style="86"/>
    <col min="7692" max="7692" width="12.33203125" style="86" customWidth="1"/>
    <col min="7693" max="7693" width="12.88671875" style="86" customWidth="1"/>
    <col min="7694" max="7694" width="12.33203125" style="86" customWidth="1"/>
    <col min="7695" max="7695" width="12.6640625" style="86" customWidth="1"/>
    <col min="7696" max="7696" width="12.33203125" style="86" customWidth="1"/>
    <col min="7697" max="7937" width="11.44140625" style="86"/>
    <col min="7938" max="7938" width="29.44140625" style="86" customWidth="1"/>
    <col min="7939" max="7939" width="12.5546875" style="86" customWidth="1"/>
    <col min="7940" max="7940" width="11.44140625" style="86"/>
    <col min="7941" max="7941" width="15" style="86" customWidth="1"/>
    <col min="7942" max="7943" width="11.6640625" style="86" bestFit="1" customWidth="1"/>
    <col min="7944" max="7944" width="12.33203125" style="86" bestFit="1" customWidth="1"/>
    <col min="7945" max="7945" width="12.88671875" style="86" customWidth="1"/>
    <col min="7946" max="7946" width="12.6640625" style="86" bestFit="1" customWidth="1"/>
    <col min="7947" max="7947" width="11.44140625" style="86"/>
    <col min="7948" max="7948" width="12.33203125" style="86" customWidth="1"/>
    <col min="7949" max="7949" width="12.88671875" style="86" customWidth="1"/>
    <col min="7950" max="7950" width="12.33203125" style="86" customWidth="1"/>
    <col min="7951" max="7951" width="12.6640625" style="86" customWidth="1"/>
    <col min="7952" max="7952" width="12.33203125" style="86" customWidth="1"/>
    <col min="7953" max="8193" width="11.44140625" style="86"/>
    <col min="8194" max="8194" width="29.44140625" style="86" customWidth="1"/>
    <col min="8195" max="8195" width="12.5546875" style="86" customWidth="1"/>
    <col min="8196" max="8196" width="11.44140625" style="86"/>
    <col min="8197" max="8197" width="15" style="86" customWidth="1"/>
    <col min="8198" max="8199" width="11.6640625" style="86" bestFit="1" customWidth="1"/>
    <col min="8200" max="8200" width="12.33203125" style="86" bestFit="1" customWidth="1"/>
    <col min="8201" max="8201" width="12.88671875" style="86" customWidth="1"/>
    <col min="8202" max="8202" width="12.6640625" style="86" bestFit="1" customWidth="1"/>
    <col min="8203" max="8203" width="11.44140625" style="86"/>
    <col min="8204" max="8204" width="12.33203125" style="86" customWidth="1"/>
    <col min="8205" max="8205" width="12.88671875" style="86" customWidth="1"/>
    <col min="8206" max="8206" width="12.33203125" style="86" customWidth="1"/>
    <col min="8207" max="8207" width="12.6640625" style="86" customWidth="1"/>
    <col min="8208" max="8208" width="12.33203125" style="86" customWidth="1"/>
    <col min="8209" max="8449" width="11.44140625" style="86"/>
    <col min="8450" max="8450" width="29.44140625" style="86" customWidth="1"/>
    <col min="8451" max="8451" width="12.5546875" style="86" customWidth="1"/>
    <col min="8452" max="8452" width="11.44140625" style="86"/>
    <col min="8453" max="8453" width="15" style="86" customWidth="1"/>
    <col min="8454" max="8455" width="11.6640625" style="86" bestFit="1" customWidth="1"/>
    <col min="8456" max="8456" width="12.33203125" style="86" bestFit="1" customWidth="1"/>
    <col min="8457" max="8457" width="12.88671875" style="86" customWidth="1"/>
    <col min="8458" max="8458" width="12.6640625" style="86" bestFit="1" customWidth="1"/>
    <col min="8459" max="8459" width="11.44140625" style="86"/>
    <col min="8460" max="8460" width="12.33203125" style="86" customWidth="1"/>
    <col min="8461" max="8461" width="12.88671875" style="86" customWidth="1"/>
    <col min="8462" max="8462" width="12.33203125" style="86" customWidth="1"/>
    <col min="8463" max="8463" width="12.6640625" style="86" customWidth="1"/>
    <col min="8464" max="8464" width="12.33203125" style="86" customWidth="1"/>
    <col min="8465" max="8705" width="11.44140625" style="86"/>
    <col min="8706" max="8706" width="29.44140625" style="86" customWidth="1"/>
    <col min="8707" max="8707" width="12.5546875" style="86" customWidth="1"/>
    <col min="8708" max="8708" width="11.44140625" style="86"/>
    <col min="8709" max="8709" width="15" style="86" customWidth="1"/>
    <col min="8710" max="8711" width="11.6640625" style="86" bestFit="1" customWidth="1"/>
    <col min="8712" max="8712" width="12.33203125" style="86" bestFit="1" customWidth="1"/>
    <col min="8713" max="8713" width="12.88671875" style="86" customWidth="1"/>
    <col min="8714" max="8714" width="12.6640625" style="86" bestFit="1" customWidth="1"/>
    <col min="8715" max="8715" width="11.44140625" style="86"/>
    <col min="8716" max="8716" width="12.33203125" style="86" customWidth="1"/>
    <col min="8717" max="8717" width="12.88671875" style="86" customWidth="1"/>
    <col min="8718" max="8718" width="12.33203125" style="86" customWidth="1"/>
    <col min="8719" max="8719" width="12.6640625" style="86" customWidth="1"/>
    <col min="8720" max="8720" width="12.33203125" style="86" customWidth="1"/>
    <col min="8721" max="8961" width="11.44140625" style="86"/>
    <col min="8962" max="8962" width="29.44140625" style="86" customWidth="1"/>
    <col min="8963" max="8963" width="12.5546875" style="86" customWidth="1"/>
    <col min="8964" max="8964" width="11.44140625" style="86"/>
    <col min="8965" max="8965" width="15" style="86" customWidth="1"/>
    <col min="8966" max="8967" width="11.6640625" style="86" bestFit="1" customWidth="1"/>
    <col min="8968" max="8968" width="12.33203125" style="86" bestFit="1" customWidth="1"/>
    <col min="8969" max="8969" width="12.88671875" style="86" customWidth="1"/>
    <col min="8970" max="8970" width="12.6640625" style="86" bestFit="1" customWidth="1"/>
    <col min="8971" max="8971" width="11.44140625" style="86"/>
    <col min="8972" max="8972" width="12.33203125" style="86" customWidth="1"/>
    <col min="8973" max="8973" width="12.88671875" style="86" customWidth="1"/>
    <col min="8974" max="8974" width="12.33203125" style="86" customWidth="1"/>
    <col min="8975" max="8975" width="12.6640625" style="86" customWidth="1"/>
    <col min="8976" max="8976" width="12.33203125" style="86" customWidth="1"/>
    <col min="8977" max="9217" width="11.44140625" style="86"/>
    <col min="9218" max="9218" width="29.44140625" style="86" customWidth="1"/>
    <col min="9219" max="9219" width="12.5546875" style="86" customWidth="1"/>
    <col min="9220" max="9220" width="11.44140625" style="86"/>
    <col min="9221" max="9221" width="15" style="86" customWidth="1"/>
    <col min="9222" max="9223" width="11.6640625" style="86" bestFit="1" customWidth="1"/>
    <col min="9224" max="9224" width="12.33203125" style="86" bestFit="1" customWidth="1"/>
    <col min="9225" max="9225" width="12.88671875" style="86" customWidth="1"/>
    <col min="9226" max="9226" width="12.6640625" style="86" bestFit="1" customWidth="1"/>
    <col min="9227" max="9227" width="11.44140625" style="86"/>
    <col min="9228" max="9228" width="12.33203125" style="86" customWidth="1"/>
    <col min="9229" max="9229" width="12.88671875" style="86" customWidth="1"/>
    <col min="9230" max="9230" width="12.33203125" style="86" customWidth="1"/>
    <col min="9231" max="9231" width="12.6640625" style="86" customWidth="1"/>
    <col min="9232" max="9232" width="12.33203125" style="86" customWidth="1"/>
    <col min="9233" max="9473" width="11.44140625" style="86"/>
    <col min="9474" max="9474" width="29.44140625" style="86" customWidth="1"/>
    <col min="9475" max="9475" width="12.5546875" style="86" customWidth="1"/>
    <col min="9476" max="9476" width="11.44140625" style="86"/>
    <col min="9477" max="9477" width="15" style="86" customWidth="1"/>
    <col min="9478" max="9479" width="11.6640625" style="86" bestFit="1" customWidth="1"/>
    <col min="9480" max="9480" width="12.33203125" style="86" bestFit="1" customWidth="1"/>
    <col min="9481" max="9481" width="12.88671875" style="86" customWidth="1"/>
    <col min="9482" max="9482" width="12.6640625" style="86" bestFit="1" customWidth="1"/>
    <col min="9483" max="9483" width="11.44140625" style="86"/>
    <col min="9484" max="9484" width="12.33203125" style="86" customWidth="1"/>
    <col min="9485" max="9485" width="12.88671875" style="86" customWidth="1"/>
    <col min="9486" max="9486" width="12.33203125" style="86" customWidth="1"/>
    <col min="9487" max="9487" width="12.6640625" style="86" customWidth="1"/>
    <col min="9488" max="9488" width="12.33203125" style="86" customWidth="1"/>
    <col min="9489" max="9729" width="11.44140625" style="86"/>
    <col min="9730" max="9730" width="29.44140625" style="86" customWidth="1"/>
    <col min="9731" max="9731" width="12.5546875" style="86" customWidth="1"/>
    <col min="9732" max="9732" width="11.44140625" style="86"/>
    <col min="9733" max="9733" width="15" style="86" customWidth="1"/>
    <col min="9734" max="9735" width="11.6640625" style="86" bestFit="1" customWidth="1"/>
    <col min="9736" max="9736" width="12.33203125" style="86" bestFit="1" customWidth="1"/>
    <col min="9737" max="9737" width="12.88671875" style="86" customWidth="1"/>
    <col min="9738" max="9738" width="12.6640625" style="86" bestFit="1" customWidth="1"/>
    <col min="9739" max="9739" width="11.44140625" style="86"/>
    <col min="9740" max="9740" width="12.33203125" style="86" customWidth="1"/>
    <col min="9741" max="9741" width="12.88671875" style="86" customWidth="1"/>
    <col min="9742" max="9742" width="12.33203125" style="86" customWidth="1"/>
    <col min="9743" max="9743" width="12.6640625" style="86" customWidth="1"/>
    <col min="9744" max="9744" width="12.33203125" style="86" customWidth="1"/>
    <col min="9745" max="9985" width="11.44140625" style="86"/>
    <col min="9986" max="9986" width="29.44140625" style="86" customWidth="1"/>
    <col min="9987" max="9987" width="12.5546875" style="86" customWidth="1"/>
    <col min="9988" max="9988" width="11.44140625" style="86"/>
    <col min="9989" max="9989" width="15" style="86" customWidth="1"/>
    <col min="9990" max="9991" width="11.6640625" style="86" bestFit="1" customWidth="1"/>
    <col min="9992" max="9992" width="12.33203125" style="86" bestFit="1" customWidth="1"/>
    <col min="9993" max="9993" width="12.88671875" style="86" customWidth="1"/>
    <col min="9994" max="9994" width="12.6640625" style="86" bestFit="1" customWidth="1"/>
    <col min="9995" max="9995" width="11.44140625" style="86"/>
    <col min="9996" max="9996" width="12.33203125" style="86" customWidth="1"/>
    <col min="9997" max="9997" width="12.88671875" style="86" customWidth="1"/>
    <col min="9998" max="9998" width="12.33203125" style="86" customWidth="1"/>
    <col min="9999" max="9999" width="12.6640625" style="86" customWidth="1"/>
    <col min="10000" max="10000" width="12.33203125" style="86" customWidth="1"/>
    <col min="10001" max="10241" width="11.44140625" style="86"/>
    <col min="10242" max="10242" width="29.44140625" style="86" customWidth="1"/>
    <col min="10243" max="10243" width="12.5546875" style="86" customWidth="1"/>
    <col min="10244" max="10244" width="11.44140625" style="86"/>
    <col min="10245" max="10245" width="15" style="86" customWidth="1"/>
    <col min="10246" max="10247" width="11.6640625" style="86" bestFit="1" customWidth="1"/>
    <col min="10248" max="10248" width="12.33203125" style="86" bestFit="1" customWidth="1"/>
    <col min="10249" max="10249" width="12.88671875" style="86" customWidth="1"/>
    <col min="10250" max="10250" width="12.6640625" style="86" bestFit="1" customWidth="1"/>
    <col min="10251" max="10251" width="11.44140625" style="86"/>
    <col min="10252" max="10252" width="12.33203125" style="86" customWidth="1"/>
    <col min="10253" max="10253" width="12.88671875" style="86" customWidth="1"/>
    <col min="10254" max="10254" width="12.33203125" style="86" customWidth="1"/>
    <col min="10255" max="10255" width="12.6640625" style="86" customWidth="1"/>
    <col min="10256" max="10256" width="12.33203125" style="86" customWidth="1"/>
    <col min="10257" max="10497" width="11.44140625" style="86"/>
    <col min="10498" max="10498" width="29.44140625" style="86" customWidth="1"/>
    <col min="10499" max="10499" width="12.5546875" style="86" customWidth="1"/>
    <col min="10500" max="10500" width="11.44140625" style="86"/>
    <col min="10501" max="10501" width="15" style="86" customWidth="1"/>
    <col min="10502" max="10503" width="11.6640625" style="86" bestFit="1" customWidth="1"/>
    <col min="10504" max="10504" width="12.33203125" style="86" bestFit="1" customWidth="1"/>
    <col min="10505" max="10505" width="12.88671875" style="86" customWidth="1"/>
    <col min="10506" max="10506" width="12.6640625" style="86" bestFit="1" customWidth="1"/>
    <col min="10507" max="10507" width="11.44140625" style="86"/>
    <col min="10508" max="10508" width="12.33203125" style="86" customWidth="1"/>
    <col min="10509" max="10509" width="12.88671875" style="86" customWidth="1"/>
    <col min="10510" max="10510" width="12.33203125" style="86" customWidth="1"/>
    <col min="10511" max="10511" width="12.6640625" style="86" customWidth="1"/>
    <col min="10512" max="10512" width="12.33203125" style="86" customWidth="1"/>
    <col min="10513" max="10753" width="11.44140625" style="86"/>
    <col min="10754" max="10754" width="29.44140625" style="86" customWidth="1"/>
    <col min="10755" max="10755" width="12.5546875" style="86" customWidth="1"/>
    <col min="10756" max="10756" width="11.44140625" style="86"/>
    <col min="10757" max="10757" width="15" style="86" customWidth="1"/>
    <col min="10758" max="10759" width="11.6640625" style="86" bestFit="1" customWidth="1"/>
    <col min="10760" max="10760" width="12.33203125" style="86" bestFit="1" customWidth="1"/>
    <col min="10761" max="10761" width="12.88671875" style="86" customWidth="1"/>
    <col min="10762" max="10762" width="12.6640625" style="86" bestFit="1" customWidth="1"/>
    <col min="10763" max="10763" width="11.44140625" style="86"/>
    <col min="10764" max="10764" width="12.33203125" style="86" customWidth="1"/>
    <col min="10765" max="10765" width="12.88671875" style="86" customWidth="1"/>
    <col min="10766" max="10766" width="12.33203125" style="86" customWidth="1"/>
    <col min="10767" max="10767" width="12.6640625" style="86" customWidth="1"/>
    <col min="10768" max="10768" width="12.33203125" style="86" customWidth="1"/>
    <col min="10769" max="11009" width="11.44140625" style="86"/>
    <col min="11010" max="11010" width="29.44140625" style="86" customWidth="1"/>
    <col min="11011" max="11011" width="12.5546875" style="86" customWidth="1"/>
    <col min="11012" max="11012" width="11.44140625" style="86"/>
    <col min="11013" max="11013" width="15" style="86" customWidth="1"/>
    <col min="11014" max="11015" width="11.6640625" style="86" bestFit="1" customWidth="1"/>
    <col min="11016" max="11016" width="12.33203125" style="86" bestFit="1" customWidth="1"/>
    <col min="11017" max="11017" width="12.88671875" style="86" customWidth="1"/>
    <col min="11018" max="11018" width="12.6640625" style="86" bestFit="1" customWidth="1"/>
    <col min="11019" max="11019" width="11.44140625" style="86"/>
    <col min="11020" max="11020" width="12.33203125" style="86" customWidth="1"/>
    <col min="11021" max="11021" width="12.88671875" style="86" customWidth="1"/>
    <col min="11022" max="11022" width="12.33203125" style="86" customWidth="1"/>
    <col min="11023" max="11023" width="12.6640625" style="86" customWidth="1"/>
    <col min="11024" max="11024" width="12.33203125" style="86" customWidth="1"/>
    <col min="11025" max="11265" width="11.44140625" style="86"/>
    <col min="11266" max="11266" width="29.44140625" style="86" customWidth="1"/>
    <col min="11267" max="11267" width="12.5546875" style="86" customWidth="1"/>
    <col min="11268" max="11268" width="11.44140625" style="86"/>
    <col min="11269" max="11269" width="15" style="86" customWidth="1"/>
    <col min="11270" max="11271" width="11.6640625" style="86" bestFit="1" customWidth="1"/>
    <col min="11272" max="11272" width="12.33203125" style="86" bestFit="1" customWidth="1"/>
    <col min="11273" max="11273" width="12.88671875" style="86" customWidth="1"/>
    <col min="11274" max="11274" width="12.6640625" style="86" bestFit="1" customWidth="1"/>
    <col min="11275" max="11275" width="11.44140625" style="86"/>
    <col min="11276" max="11276" width="12.33203125" style="86" customWidth="1"/>
    <col min="11277" max="11277" width="12.88671875" style="86" customWidth="1"/>
    <col min="11278" max="11278" width="12.33203125" style="86" customWidth="1"/>
    <col min="11279" max="11279" width="12.6640625" style="86" customWidth="1"/>
    <col min="11280" max="11280" width="12.33203125" style="86" customWidth="1"/>
    <col min="11281" max="11521" width="11.44140625" style="86"/>
    <col min="11522" max="11522" width="29.44140625" style="86" customWidth="1"/>
    <col min="11523" max="11523" width="12.5546875" style="86" customWidth="1"/>
    <col min="11524" max="11524" width="11.44140625" style="86"/>
    <col min="11525" max="11525" width="15" style="86" customWidth="1"/>
    <col min="11526" max="11527" width="11.6640625" style="86" bestFit="1" customWidth="1"/>
    <col min="11528" max="11528" width="12.33203125" style="86" bestFit="1" customWidth="1"/>
    <col min="11529" max="11529" width="12.88671875" style="86" customWidth="1"/>
    <col min="11530" max="11530" width="12.6640625" style="86" bestFit="1" customWidth="1"/>
    <col min="11531" max="11531" width="11.44140625" style="86"/>
    <col min="11532" max="11532" width="12.33203125" style="86" customWidth="1"/>
    <col min="11533" max="11533" width="12.88671875" style="86" customWidth="1"/>
    <col min="11534" max="11534" width="12.33203125" style="86" customWidth="1"/>
    <col min="11535" max="11535" width="12.6640625" style="86" customWidth="1"/>
    <col min="11536" max="11536" width="12.33203125" style="86" customWidth="1"/>
    <col min="11537" max="11777" width="11.44140625" style="86"/>
    <col min="11778" max="11778" width="29.44140625" style="86" customWidth="1"/>
    <col min="11779" max="11779" width="12.5546875" style="86" customWidth="1"/>
    <col min="11780" max="11780" width="11.44140625" style="86"/>
    <col min="11781" max="11781" width="15" style="86" customWidth="1"/>
    <col min="11782" max="11783" width="11.6640625" style="86" bestFit="1" customWidth="1"/>
    <col min="11784" max="11784" width="12.33203125" style="86" bestFit="1" customWidth="1"/>
    <col min="11785" max="11785" width="12.88671875" style="86" customWidth="1"/>
    <col min="11786" max="11786" width="12.6640625" style="86" bestFit="1" customWidth="1"/>
    <col min="11787" max="11787" width="11.44140625" style="86"/>
    <col min="11788" max="11788" width="12.33203125" style="86" customWidth="1"/>
    <col min="11789" max="11789" width="12.88671875" style="86" customWidth="1"/>
    <col min="11790" max="11790" width="12.33203125" style="86" customWidth="1"/>
    <col min="11791" max="11791" width="12.6640625" style="86" customWidth="1"/>
    <col min="11792" max="11792" width="12.33203125" style="86" customWidth="1"/>
    <col min="11793" max="12033" width="11.44140625" style="86"/>
    <col min="12034" max="12034" width="29.44140625" style="86" customWidth="1"/>
    <col min="12035" max="12035" width="12.5546875" style="86" customWidth="1"/>
    <col min="12036" max="12036" width="11.44140625" style="86"/>
    <col min="12037" max="12037" width="15" style="86" customWidth="1"/>
    <col min="12038" max="12039" width="11.6640625" style="86" bestFit="1" customWidth="1"/>
    <col min="12040" max="12040" width="12.33203125" style="86" bestFit="1" customWidth="1"/>
    <col min="12041" max="12041" width="12.88671875" style="86" customWidth="1"/>
    <col min="12042" max="12042" width="12.6640625" style="86" bestFit="1" customWidth="1"/>
    <col min="12043" max="12043" width="11.44140625" style="86"/>
    <col min="12044" max="12044" width="12.33203125" style="86" customWidth="1"/>
    <col min="12045" max="12045" width="12.88671875" style="86" customWidth="1"/>
    <col min="12046" max="12046" width="12.33203125" style="86" customWidth="1"/>
    <col min="12047" max="12047" width="12.6640625" style="86" customWidth="1"/>
    <col min="12048" max="12048" width="12.33203125" style="86" customWidth="1"/>
    <col min="12049" max="12289" width="11.44140625" style="86"/>
    <col min="12290" max="12290" width="29.44140625" style="86" customWidth="1"/>
    <col min="12291" max="12291" width="12.5546875" style="86" customWidth="1"/>
    <col min="12292" max="12292" width="11.44140625" style="86"/>
    <col min="12293" max="12293" width="15" style="86" customWidth="1"/>
    <col min="12294" max="12295" width="11.6640625" style="86" bestFit="1" customWidth="1"/>
    <col min="12296" max="12296" width="12.33203125" style="86" bestFit="1" customWidth="1"/>
    <col min="12297" max="12297" width="12.88671875" style="86" customWidth="1"/>
    <col min="12298" max="12298" width="12.6640625" style="86" bestFit="1" customWidth="1"/>
    <col min="12299" max="12299" width="11.44140625" style="86"/>
    <col min="12300" max="12300" width="12.33203125" style="86" customWidth="1"/>
    <col min="12301" max="12301" width="12.88671875" style="86" customWidth="1"/>
    <col min="12302" max="12302" width="12.33203125" style="86" customWidth="1"/>
    <col min="12303" max="12303" width="12.6640625" style="86" customWidth="1"/>
    <col min="12304" max="12304" width="12.33203125" style="86" customWidth="1"/>
    <col min="12305" max="12545" width="11.44140625" style="86"/>
    <col min="12546" max="12546" width="29.44140625" style="86" customWidth="1"/>
    <col min="12547" max="12547" width="12.5546875" style="86" customWidth="1"/>
    <col min="12548" max="12548" width="11.44140625" style="86"/>
    <col min="12549" max="12549" width="15" style="86" customWidth="1"/>
    <col min="12550" max="12551" width="11.6640625" style="86" bestFit="1" customWidth="1"/>
    <col min="12552" max="12552" width="12.33203125" style="86" bestFit="1" customWidth="1"/>
    <col min="12553" max="12553" width="12.88671875" style="86" customWidth="1"/>
    <col min="12554" max="12554" width="12.6640625" style="86" bestFit="1" customWidth="1"/>
    <col min="12555" max="12555" width="11.44140625" style="86"/>
    <col min="12556" max="12556" width="12.33203125" style="86" customWidth="1"/>
    <col min="12557" max="12557" width="12.88671875" style="86" customWidth="1"/>
    <col min="12558" max="12558" width="12.33203125" style="86" customWidth="1"/>
    <col min="12559" max="12559" width="12.6640625" style="86" customWidth="1"/>
    <col min="12560" max="12560" width="12.33203125" style="86" customWidth="1"/>
    <col min="12561" max="12801" width="11.44140625" style="86"/>
    <col min="12802" max="12802" width="29.44140625" style="86" customWidth="1"/>
    <col min="12803" max="12803" width="12.5546875" style="86" customWidth="1"/>
    <col min="12804" max="12804" width="11.44140625" style="86"/>
    <col min="12805" max="12805" width="15" style="86" customWidth="1"/>
    <col min="12806" max="12807" width="11.6640625" style="86" bestFit="1" customWidth="1"/>
    <col min="12808" max="12808" width="12.33203125" style="86" bestFit="1" customWidth="1"/>
    <col min="12809" max="12809" width="12.88671875" style="86" customWidth="1"/>
    <col min="12810" max="12810" width="12.6640625" style="86" bestFit="1" customWidth="1"/>
    <col min="12811" max="12811" width="11.44140625" style="86"/>
    <col min="12812" max="12812" width="12.33203125" style="86" customWidth="1"/>
    <col min="12813" max="12813" width="12.88671875" style="86" customWidth="1"/>
    <col min="12814" max="12814" width="12.33203125" style="86" customWidth="1"/>
    <col min="12815" max="12815" width="12.6640625" style="86" customWidth="1"/>
    <col min="12816" max="12816" width="12.33203125" style="86" customWidth="1"/>
    <col min="12817" max="13057" width="11.44140625" style="86"/>
    <col min="13058" max="13058" width="29.44140625" style="86" customWidth="1"/>
    <col min="13059" max="13059" width="12.5546875" style="86" customWidth="1"/>
    <col min="13060" max="13060" width="11.44140625" style="86"/>
    <col min="13061" max="13061" width="15" style="86" customWidth="1"/>
    <col min="13062" max="13063" width="11.6640625" style="86" bestFit="1" customWidth="1"/>
    <col min="13064" max="13064" width="12.33203125" style="86" bestFit="1" customWidth="1"/>
    <col min="13065" max="13065" width="12.88671875" style="86" customWidth="1"/>
    <col min="13066" max="13066" width="12.6640625" style="86" bestFit="1" customWidth="1"/>
    <col min="13067" max="13067" width="11.44140625" style="86"/>
    <col min="13068" max="13068" width="12.33203125" style="86" customWidth="1"/>
    <col min="13069" max="13069" width="12.88671875" style="86" customWidth="1"/>
    <col min="13070" max="13070" width="12.33203125" style="86" customWidth="1"/>
    <col min="13071" max="13071" width="12.6640625" style="86" customWidth="1"/>
    <col min="13072" max="13072" width="12.33203125" style="86" customWidth="1"/>
    <col min="13073" max="13313" width="11.44140625" style="86"/>
    <col min="13314" max="13314" width="29.44140625" style="86" customWidth="1"/>
    <col min="13315" max="13315" width="12.5546875" style="86" customWidth="1"/>
    <col min="13316" max="13316" width="11.44140625" style="86"/>
    <col min="13317" max="13317" width="15" style="86" customWidth="1"/>
    <col min="13318" max="13319" width="11.6640625" style="86" bestFit="1" customWidth="1"/>
    <col min="13320" max="13320" width="12.33203125" style="86" bestFit="1" customWidth="1"/>
    <col min="13321" max="13321" width="12.88671875" style="86" customWidth="1"/>
    <col min="13322" max="13322" width="12.6640625" style="86" bestFit="1" customWidth="1"/>
    <col min="13323" max="13323" width="11.44140625" style="86"/>
    <col min="13324" max="13324" width="12.33203125" style="86" customWidth="1"/>
    <col min="13325" max="13325" width="12.88671875" style="86" customWidth="1"/>
    <col min="13326" max="13326" width="12.33203125" style="86" customWidth="1"/>
    <col min="13327" max="13327" width="12.6640625" style="86" customWidth="1"/>
    <col min="13328" max="13328" width="12.33203125" style="86" customWidth="1"/>
    <col min="13329" max="13569" width="11.44140625" style="86"/>
    <col min="13570" max="13570" width="29.44140625" style="86" customWidth="1"/>
    <col min="13571" max="13571" width="12.5546875" style="86" customWidth="1"/>
    <col min="13572" max="13572" width="11.44140625" style="86"/>
    <col min="13573" max="13573" width="15" style="86" customWidth="1"/>
    <col min="13574" max="13575" width="11.6640625" style="86" bestFit="1" customWidth="1"/>
    <col min="13576" max="13576" width="12.33203125" style="86" bestFit="1" customWidth="1"/>
    <col min="13577" max="13577" width="12.88671875" style="86" customWidth="1"/>
    <col min="13578" max="13578" width="12.6640625" style="86" bestFit="1" customWidth="1"/>
    <col min="13579" max="13579" width="11.44140625" style="86"/>
    <col min="13580" max="13580" width="12.33203125" style="86" customWidth="1"/>
    <col min="13581" max="13581" width="12.88671875" style="86" customWidth="1"/>
    <col min="13582" max="13582" width="12.33203125" style="86" customWidth="1"/>
    <col min="13583" max="13583" width="12.6640625" style="86" customWidth="1"/>
    <col min="13584" max="13584" width="12.33203125" style="86" customWidth="1"/>
    <col min="13585" max="13825" width="11.44140625" style="86"/>
    <col min="13826" max="13826" width="29.44140625" style="86" customWidth="1"/>
    <col min="13827" max="13827" width="12.5546875" style="86" customWidth="1"/>
    <col min="13828" max="13828" width="11.44140625" style="86"/>
    <col min="13829" max="13829" width="15" style="86" customWidth="1"/>
    <col min="13830" max="13831" width="11.6640625" style="86" bestFit="1" customWidth="1"/>
    <col min="13832" max="13832" width="12.33203125" style="86" bestFit="1" customWidth="1"/>
    <col min="13833" max="13833" width="12.88671875" style="86" customWidth="1"/>
    <col min="13834" max="13834" width="12.6640625" style="86" bestFit="1" customWidth="1"/>
    <col min="13835" max="13835" width="11.44140625" style="86"/>
    <col min="13836" max="13836" width="12.33203125" style="86" customWidth="1"/>
    <col min="13837" max="13837" width="12.88671875" style="86" customWidth="1"/>
    <col min="13838" max="13838" width="12.33203125" style="86" customWidth="1"/>
    <col min="13839" max="13839" width="12.6640625" style="86" customWidth="1"/>
    <col min="13840" max="13840" width="12.33203125" style="86" customWidth="1"/>
    <col min="13841" max="14081" width="11.44140625" style="86"/>
    <col min="14082" max="14082" width="29.44140625" style="86" customWidth="1"/>
    <col min="14083" max="14083" width="12.5546875" style="86" customWidth="1"/>
    <col min="14084" max="14084" width="11.44140625" style="86"/>
    <col min="14085" max="14085" width="15" style="86" customWidth="1"/>
    <col min="14086" max="14087" width="11.6640625" style="86" bestFit="1" customWidth="1"/>
    <col min="14088" max="14088" width="12.33203125" style="86" bestFit="1" customWidth="1"/>
    <col min="14089" max="14089" width="12.88671875" style="86" customWidth="1"/>
    <col min="14090" max="14090" width="12.6640625" style="86" bestFit="1" customWidth="1"/>
    <col min="14091" max="14091" width="11.44140625" style="86"/>
    <col min="14092" max="14092" width="12.33203125" style="86" customWidth="1"/>
    <col min="14093" max="14093" width="12.88671875" style="86" customWidth="1"/>
    <col min="14094" max="14094" width="12.33203125" style="86" customWidth="1"/>
    <col min="14095" max="14095" width="12.6640625" style="86" customWidth="1"/>
    <col min="14096" max="14096" width="12.33203125" style="86" customWidth="1"/>
    <col min="14097" max="14337" width="11.44140625" style="86"/>
    <col min="14338" max="14338" width="29.44140625" style="86" customWidth="1"/>
    <col min="14339" max="14339" width="12.5546875" style="86" customWidth="1"/>
    <col min="14340" max="14340" width="11.44140625" style="86"/>
    <col min="14341" max="14341" width="15" style="86" customWidth="1"/>
    <col min="14342" max="14343" width="11.6640625" style="86" bestFit="1" customWidth="1"/>
    <col min="14344" max="14344" width="12.33203125" style="86" bestFit="1" customWidth="1"/>
    <col min="14345" max="14345" width="12.88671875" style="86" customWidth="1"/>
    <col min="14346" max="14346" width="12.6640625" style="86" bestFit="1" customWidth="1"/>
    <col min="14347" max="14347" width="11.44140625" style="86"/>
    <col min="14348" max="14348" width="12.33203125" style="86" customWidth="1"/>
    <col min="14349" max="14349" width="12.88671875" style="86" customWidth="1"/>
    <col min="14350" max="14350" width="12.33203125" style="86" customWidth="1"/>
    <col min="14351" max="14351" width="12.6640625" style="86" customWidth="1"/>
    <col min="14352" max="14352" width="12.33203125" style="86" customWidth="1"/>
    <col min="14353" max="14593" width="11.44140625" style="86"/>
    <col min="14594" max="14594" width="29.44140625" style="86" customWidth="1"/>
    <col min="14595" max="14595" width="12.5546875" style="86" customWidth="1"/>
    <col min="14596" max="14596" width="11.44140625" style="86"/>
    <col min="14597" max="14597" width="15" style="86" customWidth="1"/>
    <col min="14598" max="14599" width="11.6640625" style="86" bestFit="1" customWidth="1"/>
    <col min="14600" max="14600" width="12.33203125" style="86" bestFit="1" customWidth="1"/>
    <col min="14601" max="14601" width="12.88671875" style="86" customWidth="1"/>
    <col min="14602" max="14602" width="12.6640625" style="86" bestFit="1" customWidth="1"/>
    <col min="14603" max="14603" width="11.44140625" style="86"/>
    <col min="14604" max="14604" width="12.33203125" style="86" customWidth="1"/>
    <col min="14605" max="14605" width="12.88671875" style="86" customWidth="1"/>
    <col min="14606" max="14606" width="12.33203125" style="86" customWidth="1"/>
    <col min="14607" max="14607" width="12.6640625" style="86" customWidth="1"/>
    <col min="14608" max="14608" width="12.33203125" style="86" customWidth="1"/>
    <col min="14609" max="14849" width="11.44140625" style="86"/>
    <col min="14850" max="14850" width="29.44140625" style="86" customWidth="1"/>
    <col min="14851" max="14851" width="12.5546875" style="86" customWidth="1"/>
    <col min="14852" max="14852" width="11.44140625" style="86"/>
    <col min="14853" max="14853" width="15" style="86" customWidth="1"/>
    <col min="14854" max="14855" width="11.6640625" style="86" bestFit="1" customWidth="1"/>
    <col min="14856" max="14856" width="12.33203125" style="86" bestFit="1" customWidth="1"/>
    <col min="14857" max="14857" width="12.88671875" style="86" customWidth="1"/>
    <col min="14858" max="14858" width="12.6640625" style="86" bestFit="1" customWidth="1"/>
    <col min="14859" max="14859" width="11.44140625" style="86"/>
    <col min="14860" max="14860" width="12.33203125" style="86" customWidth="1"/>
    <col min="14861" max="14861" width="12.88671875" style="86" customWidth="1"/>
    <col min="14862" max="14862" width="12.33203125" style="86" customWidth="1"/>
    <col min="14863" max="14863" width="12.6640625" style="86" customWidth="1"/>
    <col min="14864" max="14864" width="12.33203125" style="86" customWidth="1"/>
    <col min="14865" max="15105" width="11.44140625" style="86"/>
    <col min="15106" max="15106" width="29.44140625" style="86" customWidth="1"/>
    <col min="15107" max="15107" width="12.5546875" style="86" customWidth="1"/>
    <col min="15108" max="15108" width="11.44140625" style="86"/>
    <col min="15109" max="15109" width="15" style="86" customWidth="1"/>
    <col min="15110" max="15111" width="11.6640625" style="86" bestFit="1" customWidth="1"/>
    <col min="15112" max="15112" width="12.33203125" style="86" bestFit="1" customWidth="1"/>
    <col min="15113" max="15113" width="12.88671875" style="86" customWidth="1"/>
    <col min="15114" max="15114" width="12.6640625" style="86" bestFit="1" customWidth="1"/>
    <col min="15115" max="15115" width="11.44140625" style="86"/>
    <col min="15116" max="15116" width="12.33203125" style="86" customWidth="1"/>
    <col min="15117" max="15117" width="12.88671875" style="86" customWidth="1"/>
    <col min="15118" max="15118" width="12.33203125" style="86" customWidth="1"/>
    <col min="15119" max="15119" width="12.6640625" style="86" customWidth="1"/>
    <col min="15120" max="15120" width="12.33203125" style="86" customWidth="1"/>
    <col min="15121" max="15361" width="11.44140625" style="86"/>
    <col min="15362" max="15362" width="29.44140625" style="86" customWidth="1"/>
    <col min="15363" max="15363" width="12.5546875" style="86" customWidth="1"/>
    <col min="15364" max="15364" width="11.44140625" style="86"/>
    <col min="15365" max="15365" width="15" style="86" customWidth="1"/>
    <col min="15366" max="15367" width="11.6640625" style="86" bestFit="1" customWidth="1"/>
    <col min="15368" max="15368" width="12.33203125" style="86" bestFit="1" customWidth="1"/>
    <col min="15369" max="15369" width="12.88671875" style="86" customWidth="1"/>
    <col min="15370" max="15370" width="12.6640625" style="86" bestFit="1" customWidth="1"/>
    <col min="15371" max="15371" width="11.44140625" style="86"/>
    <col min="15372" max="15372" width="12.33203125" style="86" customWidth="1"/>
    <col min="15373" max="15373" width="12.88671875" style="86" customWidth="1"/>
    <col min="15374" max="15374" width="12.33203125" style="86" customWidth="1"/>
    <col min="15375" max="15375" width="12.6640625" style="86" customWidth="1"/>
    <col min="15376" max="15376" width="12.33203125" style="86" customWidth="1"/>
    <col min="15377" max="15617" width="11.44140625" style="86"/>
    <col min="15618" max="15618" width="29.44140625" style="86" customWidth="1"/>
    <col min="15619" max="15619" width="12.5546875" style="86" customWidth="1"/>
    <col min="15620" max="15620" width="11.44140625" style="86"/>
    <col min="15621" max="15621" width="15" style="86" customWidth="1"/>
    <col min="15622" max="15623" width="11.6640625" style="86" bestFit="1" customWidth="1"/>
    <col min="15624" max="15624" width="12.33203125" style="86" bestFit="1" customWidth="1"/>
    <col min="15625" max="15625" width="12.88671875" style="86" customWidth="1"/>
    <col min="15626" max="15626" width="12.6640625" style="86" bestFit="1" customWidth="1"/>
    <col min="15627" max="15627" width="11.44140625" style="86"/>
    <col min="15628" max="15628" width="12.33203125" style="86" customWidth="1"/>
    <col min="15629" max="15629" width="12.88671875" style="86" customWidth="1"/>
    <col min="15630" max="15630" width="12.33203125" style="86" customWidth="1"/>
    <col min="15631" max="15631" width="12.6640625" style="86" customWidth="1"/>
    <col min="15632" max="15632" width="12.33203125" style="86" customWidth="1"/>
    <col min="15633" max="15873" width="11.44140625" style="86"/>
    <col min="15874" max="15874" width="29.44140625" style="86" customWidth="1"/>
    <col min="15875" max="15875" width="12.5546875" style="86" customWidth="1"/>
    <col min="15876" max="15876" width="11.44140625" style="86"/>
    <col min="15877" max="15877" width="15" style="86" customWidth="1"/>
    <col min="15878" max="15879" width="11.6640625" style="86" bestFit="1" customWidth="1"/>
    <col min="15880" max="15880" width="12.33203125" style="86" bestFit="1" customWidth="1"/>
    <col min="15881" max="15881" width="12.88671875" style="86" customWidth="1"/>
    <col min="15882" max="15882" width="12.6640625" style="86" bestFit="1" customWidth="1"/>
    <col min="15883" max="15883" width="11.44140625" style="86"/>
    <col min="15884" max="15884" width="12.33203125" style="86" customWidth="1"/>
    <col min="15885" max="15885" width="12.88671875" style="86" customWidth="1"/>
    <col min="15886" max="15886" width="12.33203125" style="86" customWidth="1"/>
    <col min="15887" max="15887" width="12.6640625" style="86" customWidth="1"/>
    <col min="15888" max="15888" width="12.33203125" style="86" customWidth="1"/>
    <col min="15889" max="16129" width="11.44140625" style="86"/>
    <col min="16130" max="16130" width="29.44140625" style="86" customWidth="1"/>
    <col min="16131" max="16131" width="12.5546875" style="86" customWidth="1"/>
    <col min="16132" max="16132" width="11.44140625" style="86"/>
    <col min="16133" max="16133" width="15" style="86" customWidth="1"/>
    <col min="16134" max="16135" width="11.6640625" style="86" bestFit="1" customWidth="1"/>
    <col min="16136" max="16136" width="12.33203125" style="86" bestFit="1" customWidth="1"/>
    <col min="16137" max="16137" width="12.88671875" style="86" customWidth="1"/>
    <col min="16138" max="16138" width="12.6640625" style="86" bestFit="1" customWidth="1"/>
    <col min="16139" max="16139" width="11.44140625" style="86"/>
    <col min="16140" max="16140" width="12.33203125" style="86" customWidth="1"/>
    <col min="16141" max="16141" width="12.88671875" style="86" customWidth="1"/>
    <col min="16142" max="16142" width="12.33203125" style="86" customWidth="1"/>
    <col min="16143" max="16143" width="12.6640625" style="86" customWidth="1"/>
    <col min="16144" max="16144" width="12.33203125" style="86" customWidth="1"/>
    <col min="16145" max="16384" width="11.44140625" style="86"/>
  </cols>
  <sheetData>
    <row r="1" spans="2:6" ht="19.95" customHeight="1" x14ac:dyDescent="0.25">
      <c r="B1" s="630" t="s">
        <v>425</v>
      </c>
      <c r="C1" s="630"/>
      <c r="D1" s="630"/>
      <c r="E1" s="630"/>
      <c r="F1" s="630"/>
    </row>
    <row r="3" spans="2:6" x14ac:dyDescent="0.25">
      <c r="B3" s="17" t="s">
        <v>167</v>
      </c>
      <c r="C3" s="71" t="s">
        <v>33</v>
      </c>
      <c r="D3" s="71" t="s">
        <v>34</v>
      </c>
      <c r="E3" s="71" t="s">
        <v>35</v>
      </c>
      <c r="F3" s="72" t="s">
        <v>21</v>
      </c>
    </row>
    <row r="4" spans="2:6" x14ac:dyDescent="0.25">
      <c r="B4" s="20"/>
      <c r="C4" s="242">
        <v>2</v>
      </c>
      <c r="D4" s="242">
        <v>2.5</v>
      </c>
      <c r="E4" s="242">
        <v>3.5</v>
      </c>
      <c r="F4" s="244">
        <v>3</v>
      </c>
    </row>
    <row r="5" spans="2:6" x14ac:dyDescent="0.25">
      <c r="B5" s="20" t="s">
        <v>19</v>
      </c>
      <c r="C5" s="242">
        <v>1</v>
      </c>
      <c r="D5" s="242">
        <v>1.25</v>
      </c>
      <c r="E5" s="242">
        <v>2</v>
      </c>
      <c r="F5" s="244">
        <v>1.5</v>
      </c>
    </row>
    <row r="6" spans="2:6" x14ac:dyDescent="0.25">
      <c r="B6" s="27" t="s">
        <v>45</v>
      </c>
      <c r="C6" s="15">
        <v>0.3</v>
      </c>
      <c r="D6" s="15">
        <v>0.3</v>
      </c>
      <c r="E6" s="15">
        <v>0.3</v>
      </c>
      <c r="F6" s="28">
        <v>0.3</v>
      </c>
    </row>
    <row r="7" spans="2:6" x14ac:dyDescent="0.25">
      <c r="B7" s="7"/>
      <c r="C7" s="175"/>
      <c r="D7" s="175"/>
      <c r="E7" s="175"/>
      <c r="F7" s="175"/>
    </row>
    <row r="8" spans="2:6" x14ac:dyDescent="0.25">
      <c r="B8" s="130"/>
      <c r="C8" s="71" t="s">
        <v>33</v>
      </c>
      <c r="D8" s="71" t="s">
        <v>34</v>
      </c>
      <c r="E8" s="71" t="s">
        <v>35</v>
      </c>
      <c r="F8" s="72" t="s">
        <v>21</v>
      </c>
    </row>
    <row r="9" spans="2:6" x14ac:dyDescent="0.25">
      <c r="B9" s="27"/>
      <c r="C9" s="35">
        <f>+(1/(1+(C5*(1-C6)))*C4)</f>
        <v>1.1764705882352942</v>
      </c>
      <c r="D9" s="35">
        <f t="shared" ref="D9:F9" si="0">+(1/(1+(D5*(1-D6)))*D4)</f>
        <v>1.3333333333333333</v>
      </c>
      <c r="E9" s="35">
        <f t="shared" si="0"/>
        <v>1.4583333333333335</v>
      </c>
      <c r="F9" s="16">
        <f t="shared" si="0"/>
        <v>1.4634146341463417</v>
      </c>
    </row>
    <row r="10" spans="2:6" ht="4.95" customHeight="1" x14ac:dyDescent="0.25">
      <c r="B10" s="7"/>
      <c r="C10" s="7"/>
      <c r="D10" s="7"/>
      <c r="E10" s="7"/>
      <c r="F10" s="7"/>
    </row>
    <row r="11" spans="2:6" x14ac:dyDescent="0.25">
      <c r="B11" s="24" t="s">
        <v>160</v>
      </c>
      <c r="C11" s="25"/>
      <c r="D11" s="25"/>
      <c r="E11" s="172"/>
      <c r="F11" s="26">
        <f>AVERAGE(C9:F9)</f>
        <v>1.3578879722620756</v>
      </c>
    </row>
    <row r="12" spans="2:6" x14ac:dyDescent="0.25">
      <c r="B12" s="7"/>
      <c r="C12" s="7"/>
      <c r="D12" s="7"/>
      <c r="F12" s="7"/>
    </row>
    <row r="13" spans="2:6" x14ac:dyDescent="0.25">
      <c r="B13" s="130"/>
      <c r="C13" s="72" t="s">
        <v>204</v>
      </c>
      <c r="D13" s="7"/>
      <c r="F13" s="7"/>
    </row>
    <row r="14" spans="2:6" x14ac:dyDescent="0.25">
      <c r="B14" s="104"/>
      <c r="C14" s="337">
        <v>1.5</v>
      </c>
    </row>
    <row r="15" spans="2:6" ht="3.6" customHeight="1" x14ac:dyDescent="0.25">
      <c r="B15" s="88"/>
      <c r="C15" s="158"/>
    </row>
    <row r="16" spans="2:6" x14ac:dyDescent="0.25">
      <c r="B16" s="30"/>
      <c r="C16" s="19" t="s">
        <v>36</v>
      </c>
    </row>
    <row r="17" spans="2:3" x14ac:dyDescent="0.25">
      <c r="B17" s="20" t="s">
        <v>19</v>
      </c>
      <c r="C17" s="338">
        <v>0.4</v>
      </c>
    </row>
    <row r="18" spans="2:3" x14ac:dyDescent="0.25">
      <c r="B18" s="20" t="s">
        <v>8</v>
      </c>
      <c r="C18" s="338">
        <v>0.35</v>
      </c>
    </row>
    <row r="19" spans="2:3" x14ac:dyDescent="0.25">
      <c r="B19" s="20"/>
      <c r="C19" s="103">
        <f>+F11</f>
        <v>1.3578879722620756</v>
      </c>
    </row>
    <row r="20" spans="2:3" ht="16.2" x14ac:dyDescent="0.35">
      <c r="B20" s="24" t="s">
        <v>404</v>
      </c>
      <c r="C20" s="339">
        <f>+F11*(1+C17*(1-C18))</f>
        <v>1.7109388450502152</v>
      </c>
    </row>
    <row r="22" spans="2:3" x14ac:dyDescent="0.25">
      <c r="B22" s="17" t="s">
        <v>163</v>
      </c>
      <c r="C22" s="79"/>
    </row>
    <row r="23" spans="2:3" x14ac:dyDescent="0.25">
      <c r="B23" s="243"/>
      <c r="C23" s="244"/>
    </row>
    <row r="24" spans="2:3" x14ac:dyDescent="0.25">
      <c r="B24" s="20"/>
      <c r="C24" s="340">
        <f>+F11</f>
        <v>1.3578879722620756</v>
      </c>
    </row>
    <row r="25" spans="2:3" x14ac:dyDescent="0.25">
      <c r="B25" s="20" t="s">
        <v>300</v>
      </c>
      <c r="C25" s="103">
        <f>+C20</f>
        <v>1.7109388450502152</v>
      </c>
    </row>
    <row r="26" spans="2:3" ht="16.2" x14ac:dyDescent="0.35">
      <c r="B26" s="20" t="s">
        <v>402</v>
      </c>
      <c r="C26" s="341">
        <v>0.04</v>
      </c>
    </row>
    <row r="27" spans="2:3" ht="16.2" x14ac:dyDescent="0.35">
      <c r="B27" s="20" t="s">
        <v>403</v>
      </c>
      <c r="C27" s="341">
        <v>8.7300000000000003E-2</v>
      </c>
    </row>
    <row r="28" spans="2:3" x14ac:dyDescent="0.25">
      <c r="B28" s="20" t="s">
        <v>20</v>
      </c>
      <c r="C28" s="341">
        <v>1.4999999999999999E-2</v>
      </c>
    </row>
    <row r="29" spans="2:3" x14ac:dyDescent="0.25">
      <c r="B29" s="27"/>
      <c r="C29" s="342"/>
    </row>
    <row r="31" spans="2:3" x14ac:dyDescent="0.25">
      <c r="B31" s="336" t="s">
        <v>205</v>
      </c>
      <c r="C31" s="77"/>
    </row>
    <row r="32" spans="2:3" x14ac:dyDescent="0.25">
      <c r="B32" s="100"/>
      <c r="C32" s="103"/>
    </row>
    <row r="33" spans="2:3" x14ac:dyDescent="0.25">
      <c r="B33" s="20" t="s">
        <v>381</v>
      </c>
      <c r="C33" s="343">
        <f>+C26+(C24*C27)+C28</f>
        <v>0.17354361997847922</v>
      </c>
    </row>
    <row r="34" spans="2:3" ht="16.2" x14ac:dyDescent="0.35">
      <c r="B34" s="27" t="s">
        <v>408</v>
      </c>
      <c r="C34" s="344">
        <f>+C26+(C20*C27)+C28</f>
        <v>0.20436496117288377</v>
      </c>
    </row>
    <row r="37" spans="2:3" x14ac:dyDescent="0.25">
      <c r="B37" s="336" t="s">
        <v>301</v>
      </c>
      <c r="C37" s="345"/>
    </row>
    <row r="38" spans="2:3" x14ac:dyDescent="0.25">
      <c r="B38" s="243"/>
      <c r="C38" s="341"/>
    </row>
    <row r="39" spans="2:3" x14ac:dyDescent="0.25">
      <c r="B39" s="20" t="s">
        <v>161</v>
      </c>
      <c r="C39" s="341">
        <f>1-C42</f>
        <v>0.2857142857142857</v>
      </c>
    </row>
    <row r="40" spans="2:3" x14ac:dyDescent="0.25">
      <c r="B40" s="20" t="s">
        <v>152</v>
      </c>
      <c r="C40" s="341">
        <v>0.115</v>
      </c>
    </row>
    <row r="41" spans="2:3" x14ac:dyDescent="0.25">
      <c r="B41" s="20" t="s">
        <v>8</v>
      </c>
      <c r="C41" s="338">
        <v>0.35</v>
      </c>
    </row>
    <row r="42" spans="2:3" x14ac:dyDescent="0.25">
      <c r="B42" s="20" t="s">
        <v>164</v>
      </c>
      <c r="C42" s="341">
        <f>1/(1.4)</f>
        <v>0.7142857142857143</v>
      </c>
    </row>
    <row r="43" spans="2:3" ht="16.2" x14ac:dyDescent="0.35">
      <c r="B43" s="20" t="s">
        <v>408</v>
      </c>
      <c r="C43" s="341">
        <f>+C34</f>
        <v>0.20436496117288377</v>
      </c>
    </row>
    <row r="44" spans="2:3" x14ac:dyDescent="0.25">
      <c r="B44" s="100"/>
      <c r="C44" s="103"/>
    </row>
    <row r="45" spans="2:3" ht="16.2" x14ac:dyDescent="0.35">
      <c r="B45" s="24" t="s">
        <v>409</v>
      </c>
      <c r="C45" s="346">
        <f>+C39*C40*(1-C41)+C42*C43</f>
        <v>0.16733211512348842</v>
      </c>
    </row>
    <row r="48" spans="2:3" x14ac:dyDescent="0.25">
      <c r="B48" s="348" t="s">
        <v>390</v>
      </c>
      <c r="C48" s="255"/>
    </row>
    <row r="49" spans="2:3" x14ac:dyDescent="0.25">
      <c r="B49" s="347"/>
      <c r="C49" s="103"/>
    </row>
    <row r="50" spans="2:3" x14ac:dyDescent="0.25">
      <c r="B50" s="20" t="s">
        <v>381</v>
      </c>
      <c r="C50" s="343">
        <f>+C33</f>
        <v>0.17354361997847922</v>
      </c>
    </row>
    <row r="51" spans="2:3" x14ac:dyDescent="0.25">
      <c r="B51" s="100"/>
      <c r="C51" s="103"/>
    </row>
    <row r="52" spans="2:3" x14ac:dyDescent="0.25">
      <c r="B52" s="20" t="s">
        <v>331</v>
      </c>
      <c r="C52" s="343">
        <f>+C34</f>
        <v>0.20436496117288377</v>
      </c>
    </row>
    <row r="53" spans="2:3" x14ac:dyDescent="0.25">
      <c r="B53" s="100"/>
      <c r="C53" s="103"/>
    </row>
    <row r="54" spans="2:3" ht="16.2" x14ac:dyDescent="0.35">
      <c r="B54" s="27" t="s">
        <v>409</v>
      </c>
      <c r="C54" s="344">
        <f>+C45</f>
        <v>0.16733211512348842</v>
      </c>
    </row>
  </sheetData>
  <sheetProtection algorithmName="SHA-512" hashValue="xyg3quhHVpl9RfBIA2WLoIOJPw2aUN6MTsGR6tk17NweMkCN0B1AokUblxp1ugVQUbBxd3o4Tu41XhMwAwvc6Q==" saltValue="lhVsKjFVCe+xUBSHJSox4A==" spinCount="100000" sheet="1" objects="1" scenarios="1"/>
  <mergeCells count="1">
    <mergeCell ref="B1:F1"/>
  </mergeCells>
  <pageMargins left="0.7" right="0.7" top="0.75" bottom="0.75" header="0.3" footer="0.3"/>
  <pageSetup orientation="portrait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J52"/>
  <sheetViews>
    <sheetView topLeftCell="A13" zoomScaleNormal="100" workbookViewId="0">
      <selection activeCell="D43" sqref="D43"/>
    </sheetView>
  </sheetViews>
  <sheetFormatPr baseColWidth="10" defaultRowHeight="13.8" x14ac:dyDescent="0.25"/>
  <cols>
    <col min="1" max="1" width="13.44140625" style="179" customWidth="1"/>
    <col min="2" max="2" width="11.44140625" style="179"/>
    <col min="3" max="3" width="29.88671875" style="179" customWidth="1"/>
    <col min="4" max="4" width="11.6640625" style="179" bestFit="1" customWidth="1"/>
    <col min="5" max="6" width="11.44140625" style="179"/>
    <col min="7" max="7" width="12.5546875" style="179" bestFit="1" customWidth="1"/>
    <col min="8" max="258" width="11.44140625" style="179"/>
    <col min="259" max="259" width="29.88671875" style="179" customWidth="1"/>
    <col min="260" max="260" width="11.6640625" style="179" bestFit="1" customWidth="1"/>
    <col min="261" max="262" width="11.44140625" style="179"/>
    <col min="263" max="263" width="12.5546875" style="179" bestFit="1" customWidth="1"/>
    <col min="264" max="514" width="11.44140625" style="179"/>
    <col min="515" max="515" width="29.88671875" style="179" customWidth="1"/>
    <col min="516" max="516" width="11.6640625" style="179" bestFit="1" customWidth="1"/>
    <col min="517" max="518" width="11.44140625" style="179"/>
    <col min="519" max="519" width="12.5546875" style="179" bestFit="1" customWidth="1"/>
    <col min="520" max="770" width="11.44140625" style="179"/>
    <col min="771" max="771" width="29.88671875" style="179" customWidth="1"/>
    <col min="772" max="772" width="11.6640625" style="179" bestFit="1" customWidth="1"/>
    <col min="773" max="774" width="11.44140625" style="179"/>
    <col min="775" max="775" width="12.5546875" style="179" bestFit="1" customWidth="1"/>
    <col min="776" max="1026" width="11.44140625" style="179"/>
    <col min="1027" max="1027" width="29.88671875" style="179" customWidth="1"/>
    <col min="1028" max="1028" width="11.6640625" style="179" bestFit="1" customWidth="1"/>
    <col min="1029" max="1030" width="11.44140625" style="179"/>
    <col min="1031" max="1031" width="12.5546875" style="179" bestFit="1" customWidth="1"/>
    <col min="1032" max="1282" width="11.44140625" style="179"/>
    <col min="1283" max="1283" width="29.88671875" style="179" customWidth="1"/>
    <col min="1284" max="1284" width="11.6640625" style="179" bestFit="1" customWidth="1"/>
    <col min="1285" max="1286" width="11.44140625" style="179"/>
    <col min="1287" max="1287" width="12.5546875" style="179" bestFit="1" customWidth="1"/>
    <col min="1288" max="1538" width="11.44140625" style="179"/>
    <col min="1539" max="1539" width="29.88671875" style="179" customWidth="1"/>
    <col min="1540" max="1540" width="11.6640625" style="179" bestFit="1" customWidth="1"/>
    <col min="1541" max="1542" width="11.44140625" style="179"/>
    <col min="1543" max="1543" width="12.5546875" style="179" bestFit="1" customWidth="1"/>
    <col min="1544" max="1794" width="11.44140625" style="179"/>
    <col min="1795" max="1795" width="29.88671875" style="179" customWidth="1"/>
    <col min="1796" max="1796" width="11.6640625" style="179" bestFit="1" customWidth="1"/>
    <col min="1797" max="1798" width="11.44140625" style="179"/>
    <col min="1799" max="1799" width="12.5546875" style="179" bestFit="1" customWidth="1"/>
    <col min="1800" max="2050" width="11.44140625" style="179"/>
    <col min="2051" max="2051" width="29.88671875" style="179" customWidth="1"/>
    <col min="2052" max="2052" width="11.6640625" style="179" bestFit="1" customWidth="1"/>
    <col min="2053" max="2054" width="11.44140625" style="179"/>
    <col min="2055" max="2055" width="12.5546875" style="179" bestFit="1" customWidth="1"/>
    <col min="2056" max="2306" width="11.44140625" style="179"/>
    <col min="2307" max="2307" width="29.88671875" style="179" customWidth="1"/>
    <col min="2308" max="2308" width="11.6640625" style="179" bestFit="1" customWidth="1"/>
    <col min="2309" max="2310" width="11.44140625" style="179"/>
    <col min="2311" max="2311" width="12.5546875" style="179" bestFit="1" customWidth="1"/>
    <col min="2312" max="2562" width="11.44140625" style="179"/>
    <col min="2563" max="2563" width="29.88671875" style="179" customWidth="1"/>
    <col min="2564" max="2564" width="11.6640625" style="179" bestFit="1" customWidth="1"/>
    <col min="2565" max="2566" width="11.44140625" style="179"/>
    <col min="2567" max="2567" width="12.5546875" style="179" bestFit="1" customWidth="1"/>
    <col min="2568" max="2818" width="11.44140625" style="179"/>
    <col min="2819" max="2819" width="29.88671875" style="179" customWidth="1"/>
    <col min="2820" max="2820" width="11.6640625" style="179" bestFit="1" customWidth="1"/>
    <col min="2821" max="2822" width="11.44140625" style="179"/>
    <col min="2823" max="2823" width="12.5546875" style="179" bestFit="1" customWidth="1"/>
    <col min="2824" max="3074" width="11.44140625" style="179"/>
    <col min="3075" max="3075" width="29.88671875" style="179" customWidth="1"/>
    <col min="3076" max="3076" width="11.6640625" style="179" bestFit="1" customWidth="1"/>
    <col min="3077" max="3078" width="11.44140625" style="179"/>
    <col min="3079" max="3079" width="12.5546875" style="179" bestFit="1" customWidth="1"/>
    <col min="3080" max="3330" width="11.44140625" style="179"/>
    <col min="3331" max="3331" width="29.88671875" style="179" customWidth="1"/>
    <col min="3332" max="3332" width="11.6640625" style="179" bestFit="1" customWidth="1"/>
    <col min="3333" max="3334" width="11.44140625" style="179"/>
    <col min="3335" max="3335" width="12.5546875" style="179" bestFit="1" customWidth="1"/>
    <col min="3336" max="3586" width="11.44140625" style="179"/>
    <col min="3587" max="3587" width="29.88671875" style="179" customWidth="1"/>
    <col min="3588" max="3588" width="11.6640625" style="179" bestFit="1" customWidth="1"/>
    <col min="3589" max="3590" width="11.44140625" style="179"/>
    <col min="3591" max="3591" width="12.5546875" style="179" bestFit="1" customWidth="1"/>
    <col min="3592" max="3842" width="11.44140625" style="179"/>
    <col min="3843" max="3843" width="29.88671875" style="179" customWidth="1"/>
    <col min="3844" max="3844" width="11.6640625" style="179" bestFit="1" customWidth="1"/>
    <col min="3845" max="3846" width="11.44140625" style="179"/>
    <col min="3847" max="3847" width="12.5546875" style="179" bestFit="1" customWidth="1"/>
    <col min="3848" max="4098" width="11.44140625" style="179"/>
    <col min="4099" max="4099" width="29.88671875" style="179" customWidth="1"/>
    <col min="4100" max="4100" width="11.6640625" style="179" bestFit="1" customWidth="1"/>
    <col min="4101" max="4102" width="11.44140625" style="179"/>
    <col min="4103" max="4103" width="12.5546875" style="179" bestFit="1" customWidth="1"/>
    <col min="4104" max="4354" width="11.44140625" style="179"/>
    <col min="4355" max="4355" width="29.88671875" style="179" customWidth="1"/>
    <col min="4356" max="4356" width="11.6640625" style="179" bestFit="1" customWidth="1"/>
    <col min="4357" max="4358" width="11.44140625" style="179"/>
    <col min="4359" max="4359" width="12.5546875" style="179" bestFit="1" customWidth="1"/>
    <col min="4360" max="4610" width="11.44140625" style="179"/>
    <col min="4611" max="4611" width="29.88671875" style="179" customWidth="1"/>
    <col min="4612" max="4612" width="11.6640625" style="179" bestFit="1" customWidth="1"/>
    <col min="4613" max="4614" width="11.44140625" style="179"/>
    <col min="4615" max="4615" width="12.5546875" style="179" bestFit="1" customWidth="1"/>
    <col min="4616" max="4866" width="11.44140625" style="179"/>
    <col min="4867" max="4867" width="29.88671875" style="179" customWidth="1"/>
    <col min="4868" max="4868" width="11.6640625" style="179" bestFit="1" customWidth="1"/>
    <col min="4869" max="4870" width="11.44140625" style="179"/>
    <col min="4871" max="4871" width="12.5546875" style="179" bestFit="1" customWidth="1"/>
    <col min="4872" max="5122" width="11.44140625" style="179"/>
    <col min="5123" max="5123" width="29.88671875" style="179" customWidth="1"/>
    <col min="5124" max="5124" width="11.6640625" style="179" bestFit="1" customWidth="1"/>
    <col min="5125" max="5126" width="11.44140625" style="179"/>
    <col min="5127" max="5127" width="12.5546875" style="179" bestFit="1" customWidth="1"/>
    <col min="5128" max="5378" width="11.44140625" style="179"/>
    <col min="5379" max="5379" width="29.88671875" style="179" customWidth="1"/>
    <col min="5380" max="5380" width="11.6640625" style="179" bestFit="1" customWidth="1"/>
    <col min="5381" max="5382" width="11.44140625" style="179"/>
    <col min="5383" max="5383" width="12.5546875" style="179" bestFit="1" customWidth="1"/>
    <col min="5384" max="5634" width="11.44140625" style="179"/>
    <col min="5635" max="5635" width="29.88671875" style="179" customWidth="1"/>
    <col min="5636" max="5636" width="11.6640625" style="179" bestFit="1" customWidth="1"/>
    <col min="5637" max="5638" width="11.44140625" style="179"/>
    <col min="5639" max="5639" width="12.5546875" style="179" bestFit="1" customWidth="1"/>
    <col min="5640" max="5890" width="11.44140625" style="179"/>
    <col min="5891" max="5891" width="29.88671875" style="179" customWidth="1"/>
    <col min="5892" max="5892" width="11.6640625" style="179" bestFit="1" customWidth="1"/>
    <col min="5893" max="5894" width="11.44140625" style="179"/>
    <col min="5895" max="5895" width="12.5546875" style="179" bestFit="1" customWidth="1"/>
    <col min="5896" max="6146" width="11.44140625" style="179"/>
    <col min="6147" max="6147" width="29.88671875" style="179" customWidth="1"/>
    <col min="6148" max="6148" width="11.6640625" style="179" bestFit="1" customWidth="1"/>
    <col min="6149" max="6150" width="11.44140625" style="179"/>
    <col min="6151" max="6151" width="12.5546875" style="179" bestFit="1" customWidth="1"/>
    <col min="6152" max="6402" width="11.44140625" style="179"/>
    <col min="6403" max="6403" width="29.88671875" style="179" customWidth="1"/>
    <col min="6404" max="6404" width="11.6640625" style="179" bestFit="1" customWidth="1"/>
    <col min="6405" max="6406" width="11.44140625" style="179"/>
    <col min="6407" max="6407" width="12.5546875" style="179" bestFit="1" customWidth="1"/>
    <col min="6408" max="6658" width="11.44140625" style="179"/>
    <col min="6659" max="6659" width="29.88671875" style="179" customWidth="1"/>
    <col min="6660" max="6660" width="11.6640625" style="179" bestFit="1" customWidth="1"/>
    <col min="6661" max="6662" width="11.44140625" style="179"/>
    <col min="6663" max="6663" width="12.5546875" style="179" bestFit="1" customWidth="1"/>
    <col min="6664" max="6914" width="11.44140625" style="179"/>
    <col min="6915" max="6915" width="29.88671875" style="179" customWidth="1"/>
    <col min="6916" max="6916" width="11.6640625" style="179" bestFit="1" customWidth="1"/>
    <col min="6917" max="6918" width="11.44140625" style="179"/>
    <col min="6919" max="6919" width="12.5546875" style="179" bestFit="1" customWidth="1"/>
    <col min="6920" max="7170" width="11.44140625" style="179"/>
    <col min="7171" max="7171" width="29.88671875" style="179" customWidth="1"/>
    <col min="7172" max="7172" width="11.6640625" style="179" bestFit="1" customWidth="1"/>
    <col min="7173" max="7174" width="11.44140625" style="179"/>
    <col min="7175" max="7175" width="12.5546875" style="179" bestFit="1" customWidth="1"/>
    <col min="7176" max="7426" width="11.44140625" style="179"/>
    <col min="7427" max="7427" width="29.88671875" style="179" customWidth="1"/>
    <col min="7428" max="7428" width="11.6640625" style="179" bestFit="1" customWidth="1"/>
    <col min="7429" max="7430" width="11.44140625" style="179"/>
    <col min="7431" max="7431" width="12.5546875" style="179" bestFit="1" customWidth="1"/>
    <col min="7432" max="7682" width="11.44140625" style="179"/>
    <col min="7683" max="7683" width="29.88671875" style="179" customWidth="1"/>
    <col min="7684" max="7684" width="11.6640625" style="179" bestFit="1" customWidth="1"/>
    <col min="7685" max="7686" width="11.44140625" style="179"/>
    <col min="7687" max="7687" width="12.5546875" style="179" bestFit="1" customWidth="1"/>
    <col min="7688" max="7938" width="11.44140625" style="179"/>
    <col min="7939" max="7939" width="29.88671875" style="179" customWidth="1"/>
    <col min="7940" max="7940" width="11.6640625" style="179" bestFit="1" customWidth="1"/>
    <col min="7941" max="7942" width="11.44140625" style="179"/>
    <col min="7943" max="7943" width="12.5546875" style="179" bestFit="1" customWidth="1"/>
    <col min="7944" max="8194" width="11.44140625" style="179"/>
    <col min="8195" max="8195" width="29.88671875" style="179" customWidth="1"/>
    <col min="8196" max="8196" width="11.6640625" style="179" bestFit="1" customWidth="1"/>
    <col min="8197" max="8198" width="11.44140625" style="179"/>
    <col min="8199" max="8199" width="12.5546875" style="179" bestFit="1" customWidth="1"/>
    <col min="8200" max="8450" width="11.44140625" style="179"/>
    <col min="8451" max="8451" width="29.88671875" style="179" customWidth="1"/>
    <col min="8452" max="8452" width="11.6640625" style="179" bestFit="1" customWidth="1"/>
    <col min="8453" max="8454" width="11.44140625" style="179"/>
    <col min="8455" max="8455" width="12.5546875" style="179" bestFit="1" customWidth="1"/>
    <col min="8456" max="8706" width="11.44140625" style="179"/>
    <col min="8707" max="8707" width="29.88671875" style="179" customWidth="1"/>
    <col min="8708" max="8708" width="11.6640625" style="179" bestFit="1" customWidth="1"/>
    <col min="8709" max="8710" width="11.44140625" style="179"/>
    <col min="8711" max="8711" width="12.5546875" style="179" bestFit="1" customWidth="1"/>
    <col min="8712" max="8962" width="11.44140625" style="179"/>
    <col min="8963" max="8963" width="29.88671875" style="179" customWidth="1"/>
    <col min="8964" max="8964" width="11.6640625" style="179" bestFit="1" customWidth="1"/>
    <col min="8965" max="8966" width="11.44140625" style="179"/>
    <col min="8967" max="8967" width="12.5546875" style="179" bestFit="1" customWidth="1"/>
    <col min="8968" max="9218" width="11.44140625" style="179"/>
    <col min="9219" max="9219" width="29.88671875" style="179" customWidth="1"/>
    <col min="9220" max="9220" width="11.6640625" style="179" bestFit="1" customWidth="1"/>
    <col min="9221" max="9222" width="11.44140625" style="179"/>
    <col min="9223" max="9223" width="12.5546875" style="179" bestFit="1" customWidth="1"/>
    <col min="9224" max="9474" width="11.44140625" style="179"/>
    <col min="9475" max="9475" width="29.88671875" style="179" customWidth="1"/>
    <col min="9476" max="9476" width="11.6640625" style="179" bestFit="1" customWidth="1"/>
    <col min="9477" max="9478" width="11.44140625" style="179"/>
    <col min="9479" max="9479" width="12.5546875" style="179" bestFit="1" customWidth="1"/>
    <col min="9480" max="9730" width="11.44140625" style="179"/>
    <col min="9731" max="9731" width="29.88671875" style="179" customWidth="1"/>
    <col min="9732" max="9732" width="11.6640625" style="179" bestFit="1" customWidth="1"/>
    <col min="9733" max="9734" width="11.44140625" style="179"/>
    <col min="9735" max="9735" width="12.5546875" style="179" bestFit="1" customWidth="1"/>
    <col min="9736" max="9986" width="11.44140625" style="179"/>
    <col min="9987" max="9987" width="29.88671875" style="179" customWidth="1"/>
    <col min="9988" max="9988" width="11.6640625" style="179" bestFit="1" customWidth="1"/>
    <col min="9989" max="9990" width="11.44140625" style="179"/>
    <col min="9991" max="9991" width="12.5546875" style="179" bestFit="1" customWidth="1"/>
    <col min="9992" max="10242" width="11.44140625" style="179"/>
    <col min="10243" max="10243" width="29.88671875" style="179" customWidth="1"/>
    <col min="10244" max="10244" width="11.6640625" style="179" bestFit="1" customWidth="1"/>
    <col min="10245" max="10246" width="11.44140625" style="179"/>
    <col min="10247" max="10247" width="12.5546875" style="179" bestFit="1" customWidth="1"/>
    <col min="10248" max="10498" width="11.44140625" style="179"/>
    <col min="10499" max="10499" width="29.88671875" style="179" customWidth="1"/>
    <col min="10500" max="10500" width="11.6640625" style="179" bestFit="1" customWidth="1"/>
    <col min="10501" max="10502" width="11.44140625" style="179"/>
    <col min="10503" max="10503" width="12.5546875" style="179" bestFit="1" customWidth="1"/>
    <col min="10504" max="10754" width="11.44140625" style="179"/>
    <col min="10755" max="10755" width="29.88671875" style="179" customWidth="1"/>
    <col min="10756" max="10756" width="11.6640625" style="179" bestFit="1" customWidth="1"/>
    <col min="10757" max="10758" width="11.44140625" style="179"/>
    <col min="10759" max="10759" width="12.5546875" style="179" bestFit="1" customWidth="1"/>
    <col min="10760" max="11010" width="11.44140625" style="179"/>
    <col min="11011" max="11011" width="29.88671875" style="179" customWidth="1"/>
    <col min="11012" max="11012" width="11.6640625" style="179" bestFit="1" customWidth="1"/>
    <col min="11013" max="11014" width="11.44140625" style="179"/>
    <col min="11015" max="11015" width="12.5546875" style="179" bestFit="1" customWidth="1"/>
    <col min="11016" max="11266" width="11.44140625" style="179"/>
    <col min="11267" max="11267" width="29.88671875" style="179" customWidth="1"/>
    <col min="11268" max="11268" width="11.6640625" style="179" bestFit="1" customWidth="1"/>
    <col min="11269" max="11270" width="11.44140625" style="179"/>
    <col min="11271" max="11271" width="12.5546875" style="179" bestFit="1" customWidth="1"/>
    <col min="11272" max="11522" width="11.44140625" style="179"/>
    <col min="11523" max="11523" width="29.88671875" style="179" customWidth="1"/>
    <col min="11524" max="11524" width="11.6640625" style="179" bestFit="1" customWidth="1"/>
    <col min="11525" max="11526" width="11.44140625" style="179"/>
    <col min="11527" max="11527" width="12.5546875" style="179" bestFit="1" customWidth="1"/>
    <col min="11528" max="11778" width="11.44140625" style="179"/>
    <col min="11779" max="11779" width="29.88671875" style="179" customWidth="1"/>
    <col min="11780" max="11780" width="11.6640625" style="179" bestFit="1" customWidth="1"/>
    <col min="11781" max="11782" width="11.44140625" style="179"/>
    <col min="11783" max="11783" width="12.5546875" style="179" bestFit="1" customWidth="1"/>
    <col min="11784" max="12034" width="11.44140625" style="179"/>
    <col min="12035" max="12035" width="29.88671875" style="179" customWidth="1"/>
    <col min="12036" max="12036" width="11.6640625" style="179" bestFit="1" customWidth="1"/>
    <col min="12037" max="12038" width="11.44140625" style="179"/>
    <col min="12039" max="12039" width="12.5546875" style="179" bestFit="1" customWidth="1"/>
    <col min="12040" max="12290" width="11.44140625" style="179"/>
    <col min="12291" max="12291" width="29.88671875" style="179" customWidth="1"/>
    <col min="12292" max="12292" width="11.6640625" style="179" bestFit="1" customWidth="1"/>
    <col min="12293" max="12294" width="11.44140625" style="179"/>
    <col min="12295" max="12295" width="12.5546875" style="179" bestFit="1" customWidth="1"/>
    <col min="12296" max="12546" width="11.44140625" style="179"/>
    <col min="12547" max="12547" width="29.88671875" style="179" customWidth="1"/>
    <col min="12548" max="12548" width="11.6640625" style="179" bestFit="1" customWidth="1"/>
    <col min="12549" max="12550" width="11.44140625" style="179"/>
    <col min="12551" max="12551" width="12.5546875" style="179" bestFit="1" customWidth="1"/>
    <col min="12552" max="12802" width="11.44140625" style="179"/>
    <col min="12803" max="12803" width="29.88671875" style="179" customWidth="1"/>
    <col min="12804" max="12804" width="11.6640625" style="179" bestFit="1" customWidth="1"/>
    <col min="12805" max="12806" width="11.44140625" style="179"/>
    <col min="12807" max="12807" width="12.5546875" style="179" bestFit="1" customWidth="1"/>
    <col min="12808" max="13058" width="11.44140625" style="179"/>
    <col min="13059" max="13059" width="29.88671875" style="179" customWidth="1"/>
    <col min="13060" max="13060" width="11.6640625" style="179" bestFit="1" customWidth="1"/>
    <col min="13061" max="13062" width="11.44140625" style="179"/>
    <col min="13063" max="13063" width="12.5546875" style="179" bestFit="1" customWidth="1"/>
    <col min="13064" max="13314" width="11.44140625" style="179"/>
    <col min="13315" max="13315" width="29.88671875" style="179" customWidth="1"/>
    <col min="13316" max="13316" width="11.6640625" style="179" bestFit="1" customWidth="1"/>
    <col min="13317" max="13318" width="11.44140625" style="179"/>
    <col min="13319" max="13319" width="12.5546875" style="179" bestFit="1" customWidth="1"/>
    <col min="13320" max="13570" width="11.44140625" style="179"/>
    <col min="13571" max="13571" width="29.88671875" style="179" customWidth="1"/>
    <col min="13572" max="13572" width="11.6640625" style="179" bestFit="1" customWidth="1"/>
    <col min="13573" max="13574" width="11.44140625" style="179"/>
    <col min="13575" max="13575" width="12.5546875" style="179" bestFit="1" customWidth="1"/>
    <col min="13576" max="13826" width="11.44140625" style="179"/>
    <col min="13827" max="13827" width="29.88671875" style="179" customWidth="1"/>
    <col min="13828" max="13828" width="11.6640625" style="179" bestFit="1" customWidth="1"/>
    <col min="13829" max="13830" width="11.44140625" style="179"/>
    <col min="13831" max="13831" width="12.5546875" style="179" bestFit="1" customWidth="1"/>
    <col min="13832" max="14082" width="11.44140625" style="179"/>
    <col min="14083" max="14083" width="29.88671875" style="179" customWidth="1"/>
    <col min="14084" max="14084" width="11.6640625" style="179" bestFit="1" customWidth="1"/>
    <col min="14085" max="14086" width="11.44140625" style="179"/>
    <col min="14087" max="14087" width="12.5546875" style="179" bestFit="1" customWidth="1"/>
    <col min="14088" max="14338" width="11.44140625" style="179"/>
    <col min="14339" max="14339" width="29.88671875" style="179" customWidth="1"/>
    <col min="14340" max="14340" width="11.6640625" style="179" bestFit="1" customWidth="1"/>
    <col min="14341" max="14342" width="11.44140625" style="179"/>
    <col min="14343" max="14343" width="12.5546875" style="179" bestFit="1" customWidth="1"/>
    <col min="14344" max="14594" width="11.44140625" style="179"/>
    <col min="14595" max="14595" width="29.88671875" style="179" customWidth="1"/>
    <col min="14596" max="14596" width="11.6640625" style="179" bestFit="1" customWidth="1"/>
    <col min="14597" max="14598" width="11.44140625" style="179"/>
    <col min="14599" max="14599" width="12.5546875" style="179" bestFit="1" customWidth="1"/>
    <col min="14600" max="14850" width="11.44140625" style="179"/>
    <col min="14851" max="14851" width="29.88671875" style="179" customWidth="1"/>
    <col min="14852" max="14852" width="11.6640625" style="179" bestFit="1" customWidth="1"/>
    <col min="14853" max="14854" width="11.44140625" style="179"/>
    <col min="14855" max="14855" width="12.5546875" style="179" bestFit="1" customWidth="1"/>
    <col min="14856" max="15106" width="11.44140625" style="179"/>
    <col min="15107" max="15107" width="29.88671875" style="179" customWidth="1"/>
    <col min="15108" max="15108" width="11.6640625" style="179" bestFit="1" customWidth="1"/>
    <col min="15109" max="15110" width="11.44140625" style="179"/>
    <col min="15111" max="15111" width="12.5546875" style="179" bestFit="1" customWidth="1"/>
    <col min="15112" max="15362" width="11.44140625" style="179"/>
    <col min="15363" max="15363" width="29.88671875" style="179" customWidth="1"/>
    <col min="15364" max="15364" width="11.6640625" style="179" bestFit="1" customWidth="1"/>
    <col min="15365" max="15366" width="11.44140625" style="179"/>
    <col min="15367" max="15367" width="12.5546875" style="179" bestFit="1" customWidth="1"/>
    <col min="15368" max="15618" width="11.44140625" style="179"/>
    <col min="15619" max="15619" width="29.88671875" style="179" customWidth="1"/>
    <col min="15620" max="15620" width="11.6640625" style="179" bestFit="1" customWidth="1"/>
    <col min="15621" max="15622" width="11.44140625" style="179"/>
    <col min="15623" max="15623" width="12.5546875" style="179" bestFit="1" customWidth="1"/>
    <col min="15624" max="15874" width="11.44140625" style="179"/>
    <col min="15875" max="15875" width="29.88671875" style="179" customWidth="1"/>
    <col min="15876" max="15876" width="11.6640625" style="179" bestFit="1" customWidth="1"/>
    <col min="15877" max="15878" width="11.44140625" style="179"/>
    <col min="15879" max="15879" width="12.5546875" style="179" bestFit="1" customWidth="1"/>
    <col min="15880" max="16130" width="11.44140625" style="179"/>
    <col min="16131" max="16131" width="29.88671875" style="179" customWidth="1"/>
    <col min="16132" max="16132" width="11.6640625" style="179" bestFit="1" customWidth="1"/>
    <col min="16133" max="16134" width="11.44140625" style="179"/>
    <col min="16135" max="16135" width="12.5546875" style="179" bestFit="1" customWidth="1"/>
    <col min="16136" max="16384" width="11.44140625" style="179"/>
  </cols>
  <sheetData>
    <row r="1" spans="3:7" ht="19.95" customHeight="1" x14ac:dyDescent="0.25">
      <c r="C1" s="619" t="s">
        <v>426</v>
      </c>
      <c r="D1" s="619"/>
      <c r="E1" s="619"/>
      <c r="F1" s="619"/>
    </row>
    <row r="3" spans="3:7" x14ac:dyDescent="0.25">
      <c r="C3" s="17" t="s">
        <v>167</v>
      </c>
      <c r="D3" s="18" t="s">
        <v>33</v>
      </c>
      <c r="E3" s="18" t="s">
        <v>34</v>
      </c>
      <c r="F3" s="19" t="s">
        <v>35</v>
      </c>
      <c r="G3" s="95"/>
    </row>
    <row r="4" spans="3:7" x14ac:dyDescent="0.25">
      <c r="C4" s="8"/>
      <c r="D4" s="242">
        <v>1.35</v>
      </c>
      <c r="E4" s="242">
        <v>1.28</v>
      </c>
      <c r="F4" s="244">
        <v>1.24</v>
      </c>
      <c r="G4" s="88"/>
    </row>
    <row r="5" spans="3:7" x14ac:dyDescent="0.25">
      <c r="C5" s="8" t="s">
        <v>206</v>
      </c>
      <c r="D5" s="242">
        <v>1400</v>
      </c>
      <c r="E5" s="242">
        <v>1350</v>
      </c>
      <c r="F5" s="244">
        <v>1500</v>
      </c>
      <c r="G5" s="88"/>
    </row>
    <row r="6" spans="3:7" x14ac:dyDescent="0.25">
      <c r="C6" s="8" t="s">
        <v>427</v>
      </c>
      <c r="D6" s="242">
        <v>1000</v>
      </c>
      <c r="E6" s="242">
        <v>1200</v>
      </c>
      <c r="F6" s="244">
        <v>1500</v>
      </c>
      <c r="G6" s="88"/>
    </row>
    <row r="7" spans="3:7" x14ac:dyDescent="0.25">
      <c r="C7" s="14" t="s">
        <v>153</v>
      </c>
      <c r="D7" s="15">
        <v>0.35</v>
      </c>
      <c r="E7" s="15">
        <v>0.35</v>
      </c>
      <c r="F7" s="28">
        <v>0.35</v>
      </c>
      <c r="G7" s="88"/>
    </row>
    <row r="8" spans="3:7" x14ac:dyDescent="0.25">
      <c r="C8" s="54"/>
      <c r="D8" s="175"/>
      <c r="E8" s="175"/>
      <c r="F8" s="175"/>
      <c r="G8" s="88"/>
    </row>
    <row r="9" spans="3:7" x14ac:dyDescent="0.25">
      <c r="C9" s="127"/>
      <c r="D9" s="18" t="s">
        <v>33</v>
      </c>
      <c r="E9" s="18" t="s">
        <v>34</v>
      </c>
      <c r="F9" s="19" t="s">
        <v>35</v>
      </c>
    </row>
    <row r="10" spans="3:7" x14ac:dyDescent="0.25">
      <c r="C10" s="27"/>
      <c r="D10" s="35">
        <f>+(1/(1+((D5/D6)*(1-D7)))*D4)</f>
        <v>0.70680628272251311</v>
      </c>
      <c r="E10" s="35">
        <f t="shared" ref="E10:F10" si="0">+(1/(1+((E5/E6)*(1-E7)))*E4)</f>
        <v>0.73935018050541512</v>
      </c>
      <c r="F10" s="16">
        <f t="shared" si="0"/>
        <v>0.75151515151515158</v>
      </c>
      <c r="G10" s="7"/>
    </row>
    <row r="11" spans="3:7" ht="4.95" customHeight="1" x14ac:dyDescent="0.25">
      <c r="C11" s="7"/>
      <c r="D11" s="7"/>
      <c r="E11" s="7"/>
      <c r="F11" s="7"/>
      <c r="G11" s="7"/>
    </row>
    <row r="12" spans="3:7" x14ac:dyDescent="0.25">
      <c r="C12" s="24" t="s">
        <v>160</v>
      </c>
      <c r="D12" s="25"/>
      <c r="E12" s="25"/>
      <c r="F12" s="26">
        <f>AVERAGE(D10:F10)</f>
        <v>0.73255720491435994</v>
      </c>
    </row>
    <row r="13" spans="3:7" x14ac:dyDescent="0.25">
      <c r="C13" s="7"/>
      <c r="D13" s="7"/>
      <c r="E13" s="7"/>
      <c r="F13" s="86"/>
      <c r="G13" s="7"/>
    </row>
    <row r="14" spans="3:7" x14ac:dyDescent="0.25">
      <c r="C14" s="30"/>
      <c r="D14" s="19" t="s">
        <v>36</v>
      </c>
      <c r="E14" s="86"/>
      <c r="F14" s="86"/>
      <c r="G14" s="86"/>
    </row>
    <row r="15" spans="3:7" x14ac:dyDescent="0.25">
      <c r="C15" s="266"/>
      <c r="D15" s="350"/>
      <c r="E15" s="86"/>
      <c r="F15" s="86"/>
    </row>
    <row r="16" spans="3:7" x14ac:dyDescent="0.25">
      <c r="C16" s="8" t="s">
        <v>360</v>
      </c>
      <c r="D16" s="351">
        <v>0.73255720491435994</v>
      </c>
      <c r="E16" s="86"/>
      <c r="F16" s="86"/>
    </row>
    <row r="17" spans="3:10" x14ac:dyDescent="0.25">
      <c r="C17" s="8" t="s">
        <v>19</v>
      </c>
      <c r="D17" s="352">
        <v>1</v>
      </c>
      <c r="E17" s="86"/>
      <c r="F17" s="86"/>
    </row>
    <row r="18" spans="3:10" x14ac:dyDescent="0.25">
      <c r="C18" s="14" t="s">
        <v>153</v>
      </c>
      <c r="D18" s="353">
        <v>0.4</v>
      </c>
      <c r="E18" s="86"/>
      <c r="F18" s="86"/>
      <c r="G18" s="86"/>
    </row>
    <row r="19" spans="3:10" ht="5.4" customHeight="1" x14ac:dyDescent="0.25">
      <c r="E19" s="86"/>
      <c r="F19" s="86"/>
      <c r="G19" s="86"/>
    </row>
    <row r="20" spans="3:10" ht="16.2" x14ac:dyDescent="0.35">
      <c r="C20" s="24" t="s">
        <v>404</v>
      </c>
      <c r="D20" s="339">
        <f>+F12*(1+D17*(1-D18))</f>
        <v>1.172091527862976</v>
      </c>
      <c r="E20" s="86"/>
      <c r="F20" s="86"/>
      <c r="G20" s="86"/>
    </row>
    <row r="21" spans="3:10" x14ac:dyDescent="0.25">
      <c r="C21" s="86"/>
      <c r="D21" s="86"/>
      <c r="E21" s="86"/>
      <c r="F21" s="86"/>
      <c r="G21" s="86"/>
    </row>
    <row r="22" spans="3:10" x14ac:dyDescent="0.25">
      <c r="C22" s="17" t="s">
        <v>163</v>
      </c>
      <c r="D22" s="256"/>
      <c r="E22" s="157"/>
      <c r="F22" s="86"/>
      <c r="G22" s="86"/>
    </row>
    <row r="23" spans="3:10" x14ac:dyDescent="0.25">
      <c r="C23" s="243"/>
      <c r="D23" s="242"/>
      <c r="E23" s="103"/>
      <c r="F23" s="86"/>
      <c r="G23" s="86"/>
    </row>
    <row r="24" spans="3:10" x14ac:dyDescent="0.25">
      <c r="C24" s="8"/>
      <c r="D24" s="158">
        <f>+F12</f>
        <v>0.73255720491435994</v>
      </c>
      <c r="E24" s="103"/>
      <c r="F24" s="86"/>
      <c r="G24" s="86"/>
    </row>
    <row r="25" spans="3:10" ht="16.2" x14ac:dyDescent="0.35">
      <c r="C25" s="8" t="s">
        <v>404</v>
      </c>
      <c r="D25" s="158">
        <f>+D20</f>
        <v>1.172091527862976</v>
      </c>
      <c r="E25" s="103"/>
      <c r="F25" s="86"/>
      <c r="G25" s="86"/>
    </row>
    <row r="26" spans="3:10" ht="16.2" x14ac:dyDescent="0.35">
      <c r="C26" s="8" t="s">
        <v>402</v>
      </c>
      <c r="D26" s="253">
        <v>6.4000000000000003E-3</v>
      </c>
      <c r="E26" s="325">
        <v>43952</v>
      </c>
      <c r="F26" s="86"/>
      <c r="G26" s="86"/>
    </row>
    <row r="27" spans="3:10" ht="16.2" x14ac:dyDescent="0.35">
      <c r="C27" s="8" t="s">
        <v>403</v>
      </c>
      <c r="D27" s="253">
        <v>4.8300000000000003E-2</v>
      </c>
      <c r="E27" s="244" t="s">
        <v>207</v>
      </c>
      <c r="F27" s="86"/>
      <c r="G27" s="86"/>
    </row>
    <row r="28" spans="3:10" x14ac:dyDescent="0.25">
      <c r="C28" s="14" t="s">
        <v>20</v>
      </c>
      <c r="D28" s="326">
        <v>1.9699999999999999E-2</v>
      </c>
      <c r="E28" s="327">
        <v>43952</v>
      </c>
      <c r="F28" s="86"/>
      <c r="G28" s="86"/>
    </row>
    <row r="30" spans="3:10" x14ac:dyDescent="0.25">
      <c r="C30" s="336" t="s">
        <v>205</v>
      </c>
      <c r="D30" s="255"/>
      <c r="I30" s="95"/>
      <c r="J30" s="242"/>
    </row>
    <row r="31" spans="3:10" x14ac:dyDescent="0.25">
      <c r="C31" s="243"/>
      <c r="D31" s="103"/>
      <c r="I31" s="95"/>
      <c r="J31" s="242"/>
    </row>
    <row r="32" spans="3:10" x14ac:dyDescent="0.25">
      <c r="C32" s="20" t="s">
        <v>381</v>
      </c>
      <c r="D32" s="343">
        <f>+D26+(D24*D27)+D28</f>
        <v>6.1482512997363584E-2</v>
      </c>
      <c r="I32" s="242"/>
      <c r="J32" s="158"/>
    </row>
    <row r="33" spans="3:10" ht="16.2" x14ac:dyDescent="0.35">
      <c r="C33" s="27" t="s">
        <v>408</v>
      </c>
      <c r="D33" s="344">
        <f>+D26+(D25*D27)+D28</f>
        <v>8.2712020795781743E-2</v>
      </c>
      <c r="I33" s="242"/>
      <c r="J33" s="88"/>
    </row>
    <row r="34" spans="3:10" x14ac:dyDescent="0.25">
      <c r="I34" s="242"/>
      <c r="J34" s="253"/>
    </row>
    <row r="35" spans="3:10" x14ac:dyDescent="0.25">
      <c r="C35" s="17" t="s">
        <v>301</v>
      </c>
      <c r="D35" s="157"/>
      <c r="I35" s="242"/>
      <c r="J35" s="253"/>
    </row>
    <row r="36" spans="3:10" x14ac:dyDescent="0.25">
      <c r="C36" s="266"/>
      <c r="D36" s="350"/>
      <c r="I36" s="242"/>
      <c r="J36" s="253"/>
    </row>
    <row r="37" spans="3:10" x14ac:dyDescent="0.25">
      <c r="C37" s="8" t="s">
        <v>161</v>
      </c>
      <c r="D37" s="341">
        <f>1-D40</f>
        <v>0.5</v>
      </c>
      <c r="I37" s="242"/>
      <c r="J37" s="253"/>
    </row>
    <row r="38" spans="3:10" x14ac:dyDescent="0.25">
      <c r="C38" s="8" t="s">
        <v>152</v>
      </c>
      <c r="D38" s="341">
        <v>0.08</v>
      </c>
      <c r="I38" s="183"/>
      <c r="J38" s="253"/>
    </row>
    <row r="39" spans="3:10" x14ac:dyDescent="0.25">
      <c r="C39" s="55" t="s">
        <v>153</v>
      </c>
      <c r="D39" s="356">
        <f>+D18</f>
        <v>0.4</v>
      </c>
      <c r="I39" s="242"/>
      <c r="J39" s="253"/>
    </row>
    <row r="40" spans="3:10" x14ac:dyDescent="0.25">
      <c r="C40" s="8" t="s">
        <v>164</v>
      </c>
      <c r="D40" s="341">
        <f>1/(1+D17)</f>
        <v>0.5</v>
      </c>
      <c r="I40" s="242"/>
      <c r="J40" s="253"/>
    </row>
    <row r="41" spans="3:10" ht="16.2" x14ac:dyDescent="0.35">
      <c r="C41" s="8" t="s">
        <v>408</v>
      </c>
      <c r="D41" s="341">
        <f>+D33</f>
        <v>8.2712020795781743E-2</v>
      </c>
      <c r="I41" s="242"/>
      <c r="J41" s="349"/>
    </row>
    <row r="42" spans="3:10" x14ac:dyDescent="0.25">
      <c r="C42" s="266"/>
      <c r="D42" s="350"/>
      <c r="I42" s="242"/>
      <c r="J42" s="253"/>
    </row>
    <row r="43" spans="3:10" ht="16.2" x14ac:dyDescent="0.35">
      <c r="C43" s="24" t="s">
        <v>409</v>
      </c>
      <c r="D43" s="346">
        <f>+D37*D38*(1-D39)+D41*D40</f>
        <v>6.5356010397890879E-2</v>
      </c>
      <c r="I43" s="242"/>
      <c r="J43" s="253"/>
    </row>
    <row r="44" spans="3:10" ht="6.6" customHeight="1" x14ac:dyDescent="0.25">
      <c r="I44" s="183"/>
      <c r="J44" s="183"/>
    </row>
    <row r="45" spans="3:10" ht="7.2" customHeight="1" x14ac:dyDescent="0.25"/>
    <row r="46" spans="3:10" x14ac:dyDescent="0.25">
      <c r="C46" s="17" t="s">
        <v>205</v>
      </c>
      <c r="D46" s="157"/>
    </row>
    <row r="47" spans="3:10" x14ac:dyDescent="0.25">
      <c r="C47" s="266"/>
      <c r="D47" s="350"/>
    </row>
    <row r="48" spans="3:10" x14ac:dyDescent="0.25">
      <c r="C48" s="20" t="s">
        <v>381</v>
      </c>
      <c r="D48" s="343">
        <f>+D32</f>
        <v>6.1482512997363584E-2</v>
      </c>
    </row>
    <row r="49" spans="3:4" x14ac:dyDescent="0.25">
      <c r="C49" s="266"/>
      <c r="D49" s="350"/>
    </row>
    <row r="50" spans="3:4" ht="16.2" x14ac:dyDescent="0.35">
      <c r="C50" s="20" t="s">
        <v>408</v>
      </c>
      <c r="D50" s="343">
        <f>+D33</f>
        <v>8.2712020795781743E-2</v>
      </c>
    </row>
    <row r="51" spans="3:4" x14ac:dyDescent="0.25">
      <c r="C51" s="266"/>
      <c r="D51" s="350"/>
    </row>
    <row r="52" spans="3:4" ht="16.2" x14ac:dyDescent="0.35">
      <c r="C52" s="27" t="s">
        <v>409</v>
      </c>
      <c r="D52" s="344">
        <f>+D43</f>
        <v>6.5356010397890879E-2</v>
      </c>
    </row>
  </sheetData>
  <sheetProtection algorithmName="SHA-512" hashValue="ZKd4gEBF85Mv4Ou9Cm9AQiwcNQbCRAf9bjujPLsU+zdR1M2//m+WMJn78Wl2R7EhsCMSXGmlvHGVimhBRZPZzQ==" saltValue="OYAiqjOvaAnlbsOr/pyiig==" spinCount="100000" sheet="1" objects="1" scenarios="1"/>
  <mergeCells count="1">
    <mergeCell ref="C1:F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110"/>
  <sheetViews>
    <sheetView topLeftCell="A58" zoomScaleNormal="100" workbookViewId="0">
      <selection activeCell="D99" sqref="D99"/>
    </sheetView>
  </sheetViews>
  <sheetFormatPr baseColWidth="10" defaultRowHeight="13.8" x14ac:dyDescent="0.25"/>
  <cols>
    <col min="1" max="1" width="17.88671875" style="357" customWidth="1"/>
    <col min="2" max="2" width="7" style="358" customWidth="1"/>
    <col min="3" max="3" width="35.6640625" style="357" customWidth="1"/>
    <col min="4" max="4" width="19.33203125" style="357" customWidth="1"/>
    <col min="5" max="5" width="16.44140625" style="357" bestFit="1" customWidth="1"/>
    <col min="6" max="6" width="16.6640625" style="357" bestFit="1" customWidth="1"/>
    <col min="7" max="9" width="16.44140625" style="357" bestFit="1" customWidth="1"/>
    <col min="10" max="10" width="14.33203125" style="357" customWidth="1"/>
    <col min="11" max="11" width="6.6640625" style="357" bestFit="1" customWidth="1"/>
    <col min="12" max="12" width="2.109375" style="357" bestFit="1" customWidth="1"/>
    <col min="13" max="13" width="15.33203125" style="357" bestFit="1" customWidth="1"/>
    <col min="14" max="14" width="2" style="357" bestFit="1" customWidth="1"/>
    <col min="15" max="15" width="1.44140625" style="357" bestFit="1" customWidth="1"/>
    <col min="16" max="16" width="2" style="357" bestFit="1" customWidth="1"/>
    <col min="17" max="17" width="6.33203125" style="357" bestFit="1" customWidth="1"/>
    <col min="18" max="18" width="3.88671875" style="357" bestFit="1" customWidth="1"/>
    <col min="19" max="19" width="15.33203125" style="357" bestFit="1" customWidth="1"/>
    <col min="20" max="20" width="2" style="357" bestFit="1" customWidth="1"/>
    <col min="21" max="21" width="4.33203125" style="357" bestFit="1" customWidth="1"/>
    <col min="22" max="22" width="3.88671875" style="357" bestFit="1" customWidth="1"/>
    <col min="23" max="23" width="15.33203125" style="357" bestFit="1" customWidth="1"/>
    <col min="24" max="24" width="2" style="357" bestFit="1" customWidth="1"/>
    <col min="25" max="25" width="9.6640625" style="357" bestFit="1" customWidth="1"/>
    <col min="26" max="258" width="11.44140625" style="357"/>
    <col min="259" max="259" width="34.33203125" style="357" customWidth="1"/>
    <col min="260" max="260" width="16.6640625" style="357" customWidth="1"/>
    <col min="261" max="261" width="17.6640625" style="357" customWidth="1"/>
    <col min="262" max="262" width="17.88671875" style="357" customWidth="1"/>
    <col min="263" max="263" width="17" style="357" customWidth="1"/>
    <col min="264" max="264" width="17.88671875" style="357" customWidth="1"/>
    <col min="265" max="265" width="17.109375" style="357" customWidth="1"/>
    <col min="266" max="266" width="14.33203125" style="357" customWidth="1"/>
    <col min="267" max="267" width="13.88671875" style="357" customWidth="1"/>
    <col min="268" max="268" width="14.33203125" style="357" customWidth="1"/>
    <col min="269" max="514" width="11.44140625" style="357"/>
    <col min="515" max="515" width="34.33203125" style="357" customWidth="1"/>
    <col min="516" max="516" width="16.6640625" style="357" customWidth="1"/>
    <col min="517" max="517" width="17.6640625" style="357" customWidth="1"/>
    <col min="518" max="518" width="17.88671875" style="357" customWidth="1"/>
    <col min="519" max="519" width="17" style="357" customWidth="1"/>
    <col min="520" max="520" width="17.88671875" style="357" customWidth="1"/>
    <col min="521" max="521" width="17.109375" style="357" customWidth="1"/>
    <col min="522" max="522" width="14.33203125" style="357" customWidth="1"/>
    <col min="523" max="523" width="13.88671875" style="357" customWidth="1"/>
    <col min="524" max="524" width="14.33203125" style="357" customWidth="1"/>
    <col min="525" max="770" width="11.44140625" style="357"/>
    <col min="771" max="771" width="34.33203125" style="357" customWidth="1"/>
    <col min="772" max="772" width="16.6640625" style="357" customWidth="1"/>
    <col min="773" max="773" width="17.6640625" style="357" customWidth="1"/>
    <col min="774" max="774" width="17.88671875" style="357" customWidth="1"/>
    <col min="775" max="775" width="17" style="357" customWidth="1"/>
    <col min="776" max="776" width="17.88671875" style="357" customWidth="1"/>
    <col min="777" max="777" width="17.109375" style="357" customWidth="1"/>
    <col min="778" max="778" width="14.33203125" style="357" customWidth="1"/>
    <col min="779" max="779" width="13.88671875" style="357" customWidth="1"/>
    <col min="780" max="780" width="14.33203125" style="357" customWidth="1"/>
    <col min="781" max="1026" width="11.44140625" style="357"/>
    <col min="1027" max="1027" width="34.33203125" style="357" customWidth="1"/>
    <col min="1028" max="1028" width="16.6640625" style="357" customWidth="1"/>
    <col min="1029" max="1029" width="17.6640625" style="357" customWidth="1"/>
    <col min="1030" max="1030" width="17.88671875" style="357" customWidth="1"/>
    <col min="1031" max="1031" width="17" style="357" customWidth="1"/>
    <col min="1032" max="1032" width="17.88671875" style="357" customWidth="1"/>
    <col min="1033" max="1033" width="17.109375" style="357" customWidth="1"/>
    <col min="1034" max="1034" width="14.33203125" style="357" customWidth="1"/>
    <col min="1035" max="1035" width="13.88671875" style="357" customWidth="1"/>
    <col min="1036" max="1036" width="14.33203125" style="357" customWidth="1"/>
    <col min="1037" max="1282" width="11.44140625" style="357"/>
    <col min="1283" max="1283" width="34.33203125" style="357" customWidth="1"/>
    <col min="1284" max="1284" width="16.6640625" style="357" customWidth="1"/>
    <col min="1285" max="1285" width="17.6640625" style="357" customWidth="1"/>
    <col min="1286" max="1286" width="17.88671875" style="357" customWidth="1"/>
    <col min="1287" max="1287" width="17" style="357" customWidth="1"/>
    <col min="1288" max="1288" width="17.88671875" style="357" customWidth="1"/>
    <col min="1289" max="1289" width="17.109375" style="357" customWidth="1"/>
    <col min="1290" max="1290" width="14.33203125" style="357" customWidth="1"/>
    <col min="1291" max="1291" width="13.88671875" style="357" customWidth="1"/>
    <col min="1292" max="1292" width="14.33203125" style="357" customWidth="1"/>
    <col min="1293" max="1538" width="11.44140625" style="357"/>
    <col min="1539" max="1539" width="34.33203125" style="357" customWidth="1"/>
    <col min="1540" max="1540" width="16.6640625" style="357" customWidth="1"/>
    <col min="1541" max="1541" width="17.6640625" style="357" customWidth="1"/>
    <col min="1542" max="1542" width="17.88671875" style="357" customWidth="1"/>
    <col min="1543" max="1543" width="17" style="357" customWidth="1"/>
    <col min="1544" max="1544" width="17.88671875" style="357" customWidth="1"/>
    <col min="1545" max="1545" width="17.109375" style="357" customWidth="1"/>
    <col min="1546" max="1546" width="14.33203125" style="357" customWidth="1"/>
    <col min="1547" max="1547" width="13.88671875" style="357" customWidth="1"/>
    <col min="1548" max="1548" width="14.33203125" style="357" customWidth="1"/>
    <col min="1549" max="1794" width="11.44140625" style="357"/>
    <col min="1795" max="1795" width="34.33203125" style="357" customWidth="1"/>
    <col min="1796" max="1796" width="16.6640625" style="357" customWidth="1"/>
    <col min="1797" max="1797" width="17.6640625" style="357" customWidth="1"/>
    <col min="1798" max="1798" width="17.88671875" style="357" customWidth="1"/>
    <col min="1799" max="1799" width="17" style="357" customWidth="1"/>
    <col min="1800" max="1800" width="17.88671875" style="357" customWidth="1"/>
    <col min="1801" max="1801" width="17.109375" style="357" customWidth="1"/>
    <col min="1802" max="1802" width="14.33203125" style="357" customWidth="1"/>
    <col min="1803" max="1803" width="13.88671875" style="357" customWidth="1"/>
    <col min="1804" max="1804" width="14.33203125" style="357" customWidth="1"/>
    <col min="1805" max="2050" width="11.44140625" style="357"/>
    <col min="2051" max="2051" width="34.33203125" style="357" customWidth="1"/>
    <col min="2052" max="2052" width="16.6640625" style="357" customWidth="1"/>
    <col min="2053" max="2053" width="17.6640625" style="357" customWidth="1"/>
    <col min="2054" max="2054" width="17.88671875" style="357" customWidth="1"/>
    <col min="2055" max="2055" width="17" style="357" customWidth="1"/>
    <col min="2056" max="2056" width="17.88671875" style="357" customWidth="1"/>
    <col min="2057" max="2057" width="17.109375" style="357" customWidth="1"/>
    <col min="2058" max="2058" width="14.33203125" style="357" customWidth="1"/>
    <col min="2059" max="2059" width="13.88671875" style="357" customWidth="1"/>
    <col min="2060" max="2060" width="14.33203125" style="357" customWidth="1"/>
    <col min="2061" max="2306" width="11.44140625" style="357"/>
    <col min="2307" max="2307" width="34.33203125" style="357" customWidth="1"/>
    <col min="2308" max="2308" width="16.6640625" style="357" customWidth="1"/>
    <col min="2309" max="2309" width="17.6640625" style="357" customWidth="1"/>
    <col min="2310" max="2310" width="17.88671875" style="357" customWidth="1"/>
    <col min="2311" max="2311" width="17" style="357" customWidth="1"/>
    <col min="2312" max="2312" width="17.88671875" style="357" customWidth="1"/>
    <col min="2313" max="2313" width="17.109375" style="357" customWidth="1"/>
    <col min="2314" max="2314" width="14.33203125" style="357" customWidth="1"/>
    <col min="2315" max="2315" width="13.88671875" style="357" customWidth="1"/>
    <col min="2316" max="2316" width="14.33203125" style="357" customWidth="1"/>
    <col min="2317" max="2562" width="11.44140625" style="357"/>
    <col min="2563" max="2563" width="34.33203125" style="357" customWidth="1"/>
    <col min="2564" max="2564" width="16.6640625" style="357" customWidth="1"/>
    <col min="2565" max="2565" width="17.6640625" style="357" customWidth="1"/>
    <col min="2566" max="2566" width="17.88671875" style="357" customWidth="1"/>
    <col min="2567" max="2567" width="17" style="357" customWidth="1"/>
    <col min="2568" max="2568" width="17.88671875" style="357" customWidth="1"/>
    <col min="2569" max="2569" width="17.109375" style="357" customWidth="1"/>
    <col min="2570" max="2570" width="14.33203125" style="357" customWidth="1"/>
    <col min="2571" max="2571" width="13.88671875" style="357" customWidth="1"/>
    <col min="2572" max="2572" width="14.33203125" style="357" customWidth="1"/>
    <col min="2573" max="2818" width="11.44140625" style="357"/>
    <col min="2819" max="2819" width="34.33203125" style="357" customWidth="1"/>
    <col min="2820" max="2820" width="16.6640625" style="357" customWidth="1"/>
    <col min="2821" max="2821" width="17.6640625" style="357" customWidth="1"/>
    <col min="2822" max="2822" width="17.88671875" style="357" customWidth="1"/>
    <col min="2823" max="2823" width="17" style="357" customWidth="1"/>
    <col min="2824" max="2824" width="17.88671875" style="357" customWidth="1"/>
    <col min="2825" max="2825" width="17.109375" style="357" customWidth="1"/>
    <col min="2826" max="2826" width="14.33203125" style="357" customWidth="1"/>
    <col min="2827" max="2827" width="13.88671875" style="357" customWidth="1"/>
    <col min="2828" max="2828" width="14.33203125" style="357" customWidth="1"/>
    <col min="2829" max="3074" width="11.44140625" style="357"/>
    <col min="3075" max="3075" width="34.33203125" style="357" customWidth="1"/>
    <col min="3076" max="3076" width="16.6640625" style="357" customWidth="1"/>
    <col min="3077" max="3077" width="17.6640625" style="357" customWidth="1"/>
    <col min="3078" max="3078" width="17.88671875" style="357" customWidth="1"/>
    <col min="3079" max="3079" width="17" style="357" customWidth="1"/>
    <col min="3080" max="3080" width="17.88671875" style="357" customWidth="1"/>
    <col min="3081" max="3081" width="17.109375" style="357" customWidth="1"/>
    <col min="3082" max="3082" width="14.33203125" style="357" customWidth="1"/>
    <col min="3083" max="3083" width="13.88671875" style="357" customWidth="1"/>
    <col min="3084" max="3084" width="14.33203125" style="357" customWidth="1"/>
    <col min="3085" max="3330" width="11.44140625" style="357"/>
    <col min="3331" max="3331" width="34.33203125" style="357" customWidth="1"/>
    <col min="3332" max="3332" width="16.6640625" style="357" customWidth="1"/>
    <col min="3333" max="3333" width="17.6640625" style="357" customWidth="1"/>
    <col min="3334" max="3334" width="17.88671875" style="357" customWidth="1"/>
    <col min="3335" max="3335" width="17" style="357" customWidth="1"/>
    <col min="3336" max="3336" width="17.88671875" style="357" customWidth="1"/>
    <col min="3337" max="3337" width="17.109375" style="357" customWidth="1"/>
    <col min="3338" max="3338" width="14.33203125" style="357" customWidth="1"/>
    <col min="3339" max="3339" width="13.88671875" style="357" customWidth="1"/>
    <col min="3340" max="3340" width="14.33203125" style="357" customWidth="1"/>
    <col min="3341" max="3586" width="11.44140625" style="357"/>
    <col min="3587" max="3587" width="34.33203125" style="357" customWidth="1"/>
    <col min="3588" max="3588" width="16.6640625" style="357" customWidth="1"/>
    <col min="3589" max="3589" width="17.6640625" style="357" customWidth="1"/>
    <col min="3590" max="3590" width="17.88671875" style="357" customWidth="1"/>
    <col min="3591" max="3591" width="17" style="357" customWidth="1"/>
    <col min="3592" max="3592" width="17.88671875" style="357" customWidth="1"/>
    <col min="3593" max="3593" width="17.109375" style="357" customWidth="1"/>
    <col min="3594" max="3594" width="14.33203125" style="357" customWidth="1"/>
    <col min="3595" max="3595" width="13.88671875" style="357" customWidth="1"/>
    <col min="3596" max="3596" width="14.33203125" style="357" customWidth="1"/>
    <col min="3597" max="3842" width="11.44140625" style="357"/>
    <col min="3843" max="3843" width="34.33203125" style="357" customWidth="1"/>
    <col min="3844" max="3844" width="16.6640625" style="357" customWidth="1"/>
    <col min="3845" max="3845" width="17.6640625" style="357" customWidth="1"/>
    <col min="3846" max="3846" width="17.88671875" style="357" customWidth="1"/>
    <col min="3847" max="3847" width="17" style="357" customWidth="1"/>
    <col min="3848" max="3848" width="17.88671875" style="357" customWidth="1"/>
    <col min="3849" max="3849" width="17.109375" style="357" customWidth="1"/>
    <col min="3850" max="3850" width="14.33203125" style="357" customWidth="1"/>
    <col min="3851" max="3851" width="13.88671875" style="357" customWidth="1"/>
    <col min="3852" max="3852" width="14.33203125" style="357" customWidth="1"/>
    <col min="3853" max="4098" width="11.44140625" style="357"/>
    <col min="4099" max="4099" width="34.33203125" style="357" customWidth="1"/>
    <col min="4100" max="4100" width="16.6640625" style="357" customWidth="1"/>
    <col min="4101" max="4101" width="17.6640625" style="357" customWidth="1"/>
    <col min="4102" max="4102" width="17.88671875" style="357" customWidth="1"/>
    <col min="4103" max="4103" width="17" style="357" customWidth="1"/>
    <col min="4104" max="4104" width="17.88671875" style="357" customWidth="1"/>
    <col min="4105" max="4105" width="17.109375" style="357" customWidth="1"/>
    <col min="4106" max="4106" width="14.33203125" style="357" customWidth="1"/>
    <col min="4107" max="4107" width="13.88671875" style="357" customWidth="1"/>
    <col min="4108" max="4108" width="14.33203125" style="357" customWidth="1"/>
    <col min="4109" max="4354" width="11.44140625" style="357"/>
    <col min="4355" max="4355" width="34.33203125" style="357" customWidth="1"/>
    <col min="4356" max="4356" width="16.6640625" style="357" customWidth="1"/>
    <col min="4357" max="4357" width="17.6640625" style="357" customWidth="1"/>
    <col min="4358" max="4358" width="17.88671875" style="357" customWidth="1"/>
    <col min="4359" max="4359" width="17" style="357" customWidth="1"/>
    <col min="4360" max="4360" width="17.88671875" style="357" customWidth="1"/>
    <col min="4361" max="4361" width="17.109375" style="357" customWidth="1"/>
    <col min="4362" max="4362" width="14.33203125" style="357" customWidth="1"/>
    <col min="4363" max="4363" width="13.88671875" style="357" customWidth="1"/>
    <col min="4364" max="4364" width="14.33203125" style="357" customWidth="1"/>
    <col min="4365" max="4610" width="11.44140625" style="357"/>
    <col min="4611" max="4611" width="34.33203125" style="357" customWidth="1"/>
    <col min="4612" max="4612" width="16.6640625" style="357" customWidth="1"/>
    <col min="4613" max="4613" width="17.6640625" style="357" customWidth="1"/>
    <col min="4614" max="4614" width="17.88671875" style="357" customWidth="1"/>
    <col min="4615" max="4615" width="17" style="357" customWidth="1"/>
    <col min="4616" max="4616" width="17.88671875" style="357" customWidth="1"/>
    <col min="4617" max="4617" width="17.109375" style="357" customWidth="1"/>
    <col min="4618" max="4618" width="14.33203125" style="357" customWidth="1"/>
    <col min="4619" max="4619" width="13.88671875" style="357" customWidth="1"/>
    <col min="4620" max="4620" width="14.33203125" style="357" customWidth="1"/>
    <col min="4621" max="4866" width="11.44140625" style="357"/>
    <col min="4867" max="4867" width="34.33203125" style="357" customWidth="1"/>
    <col min="4868" max="4868" width="16.6640625" style="357" customWidth="1"/>
    <col min="4869" max="4869" width="17.6640625" style="357" customWidth="1"/>
    <col min="4870" max="4870" width="17.88671875" style="357" customWidth="1"/>
    <col min="4871" max="4871" width="17" style="357" customWidth="1"/>
    <col min="4872" max="4872" width="17.88671875" style="357" customWidth="1"/>
    <col min="4873" max="4873" width="17.109375" style="357" customWidth="1"/>
    <col min="4874" max="4874" width="14.33203125" style="357" customWidth="1"/>
    <col min="4875" max="4875" width="13.88671875" style="357" customWidth="1"/>
    <col min="4876" max="4876" width="14.33203125" style="357" customWidth="1"/>
    <col min="4877" max="5122" width="11.44140625" style="357"/>
    <col min="5123" max="5123" width="34.33203125" style="357" customWidth="1"/>
    <col min="5124" max="5124" width="16.6640625" style="357" customWidth="1"/>
    <col min="5125" max="5125" width="17.6640625" style="357" customWidth="1"/>
    <col min="5126" max="5126" width="17.88671875" style="357" customWidth="1"/>
    <col min="5127" max="5127" width="17" style="357" customWidth="1"/>
    <col min="5128" max="5128" width="17.88671875" style="357" customWidth="1"/>
    <col min="5129" max="5129" width="17.109375" style="357" customWidth="1"/>
    <col min="5130" max="5130" width="14.33203125" style="357" customWidth="1"/>
    <col min="5131" max="5131" width="13.88671875" style="357" customWidth="1"/>
    <col min="5132" max="5132" width="14.33203125" style="357" customWidth="1"/>
    <col min="5133" max="5378" width="11.44140625" style="357"/>
    <col min="5379" max="5379" width="34.33203125" style="357" customWidth="1"/>
    <col min="5380" max="5380" width="16.6640625" style="357" customWidth="1"/>
    <col min="5381" max="5381" width="17.6640625" style="357" customWidth="1"/>
    <col min="5382" max="5382" width="17.88671875" style="357" customWidth="1"/>
    <col min="5383" max="5383" width="17" style="357" customWidth="1"/>
    <col min="5384" max="5384" width="17.88671875" style="357" customWidth="1"/>
    <col min="5385" max="5385" width="17.109375" style="357" customWidth="1"/>
    <col min="5386" max="5386" width="14.33203125" style="357" customWidth="1"/>
    <col min="5387" max="5387" width="13.88671875" style="357" customWidth="1"/>
    <col min="5388" max="5388" width="14.33203125" style="357" customWidth="1"/>
    <col min="5389" max="5634" width="11.44140625" style="357"/>
    <col min="5635" max="5635" width="34.33203125" style="357" customWidth="1"/>
    <col min="5636" max="5636" width="16.6640625" style="357" customWidth="1"/>
    <col min="5637" max="5637" width="17.6640625" style="357" customWidth="1"/>
    <col min="5638" max="5638" width="17.88671875" style="357" customWidth="1"/>
    <col min="5639" max="5639" width="17" style="357" customWidth="1"/>
    <col min="5640" max="5640" width="17.88671875" style="357" customWidth="1"/>
    <col min="5641" max="5641" width="17.109375" style="357" customWidth="1"/>
    <col min="5642" max="5642" width="14.33203125" style="357" customWidth="1"/>
    <col min="5643" max="5643" width="13.88671875" style="357" customWidth="1"/>
    <col min="5644" max="5644" width="14.33203125" style="357" customWidth="1"/>
    <col min="5645" max="5890" width="11.44140625" style="357"/>
    <col min="5891" max="5891" width="34.33203125" style="357" customWidth="1"/>
    <col min="5892" max="5892" width="16.6640625" style="357" customWidth="1"/>
    <col min="5893" max="5893" width="17.6640625" style="357" customWidth="1"/>
    <col min="5894" max="5894" width="17.88671875" style="357" customWidth="1"/>
    <col min="5895" max="5895" width="17" style="357" customWidth="1"/>
    <col min="5896" max="5896" width="17.88671875" style="357" customWidth="1"/>
    <col min="5897" max="5897" width="17.109375" style="357" customWidth="1"/>
    <col min="5898" max="5898" width="14.33203125" style="357" customWidth="1"/>
    <col min="5899" max="5899" width="13.88671875" style="357" customWidth="1"/>
    <col min="5900" max="5900" width="14.33203125" style="357" customWidth="1"/>
    <col min="5901" max="6146" width="11.44140625" style="357"/>
    <col min="6147" max="6147" width="34.33203125" style="357" customWidth="1"/>
    <col min="6148" max="6148" width="16.6640625" style="357" customWidth="1"/>
    <col min="6149" max="6149" width="17.6640625" style="357" customWidth="1"/>
    <col min="6150" max="6150" width="17.88671875" style="357" customWidth="1"/>
    <col min="6151" max="6151" width="17" style="357" customWidth="1"/>
    <col min="6152" max="6152" width="17.88671875" style="357" customWidth="1"/>
    <col min="6153" max="6153" width="17.109375" style="357" customWidth="1"/>
    <col min="6154" max="6154" width="14.33203125" style="357" customWidth="1"/>
    <col min="6155" max="6155" width="13.88671875" style="357" customWidth="1"/>
    <col min="6156" max="6156" width="14.33203125" style="357" customWidth="1"/>
    <col min="6157" max="6402" width="11.44140625" style="357"/>
    <col min="6403" max="6403" width="34.33203125" style="357" customWidth="1"/>
    <col min="6404" max="6404" width="16.6640625" style="357" customWidth="1"/>
    <col min="6405" max="6405" width="17.6640625" style="357" customWidth="1"/>
    <col min="6406" max="6406" width="17.88671875" style="357" customWidth="1"/>
    <col min="6407" max="6407" width="17" style="357" customWidth="1"/>
    <col min="6408" max="6408" width="17.88671875" style="357" customWidth="1"/>
    <col min="6409" max="6409" width="17.109375" style="357" customWidth="1"/>
    <col min="6410" max="6410" width="14.33203125" style="357" customWidth="1"/>
    <col min="6411" max="6411" width="13.88671875" style="357" customWidth="1"/>
    <col min="6412" max="6412" width="14.33203125" style="357" customWidth="1"/>
    <col min="6413" max="6658" width="11.44140625" style="357"/>
    <col min="6659" max="6659" width="34.33203125" style="357" customWidth="1"/>
    <col min="6660" max="6660" width="16.6640625" style="357" customWidth="1"/>
    <col min="6661" max="6661" width="17.6640625" style="357" customWidth="1"/>
    <col min="6662" max="6662" width="17.88671875" style="357" customWidth="1"/>
    <col min="6663" max="6663" width="17" style="357" customWidth="1"/>
    <col min="6664" max="6664" width="17.88671875" style="357" customWidth="1"/>
    <col min="6665" max="6665" width="17.109375" style="357" customWidth="1"/>
    <col min="6666" max="6666" width="14.33203125" style="357" customWidth="1"/>
    <col min="6667" max="6667" width="13.88671875" style="357" customWidth="1"/>
    <col min="6668" max="6668" width="14.33203125" style="357" customWidth="1"/>
    <col min="6669" max="6914" width="11.44140625" style="357"/>
    <col min="6915" max="6915" width="34.33203125" style="357" customWidth="1"/>
    <col min="6916" max="6916" width="16.6640625" style="357" customWidth="1"/>
    <col min="6917" max="6917" width="17.6640625" style="357" customWidth="1"/>
    <col min="6918" max="6918" width="17.88671875" style="357" customWidth="1"/>
    <col min="6919" max="6919" width="17" style="357" customWidth="1"/>
    <col min="6920" max="6920" width="17.88671875" style="357" customWidth="1"/>
    <col min="6921" max="6921" width="17.109375" style="357" customWidth="1"/>
    <col min="6922" max="6922" width="14.33203125" style="357" customWidth="1"/>
    <col min="6923" max="6923" width="13.88671875" style="357" customWidth="1"/>
    <col min="6924" max="6924" width="14.33203125" style="357" customWidth="1"/>
    <col min="6925" max="7170" width="11.44140625" style="357"/>
    <col min="7171" max="7171" width="34.33203125" style="357" customWidth="1"/>
    <col min="7172" max="7172" width="16.6640625" style="357" customWidth="1"/>
    <col min="7173" max="7173" width="17.6640625" style="357" customWidth="1"/>
    <col min="7174" max="7174" width="17.88671875" style="357" customWidth="1"/>
    <col min="7175" max="7175" width="17" style="357" customWidth="1"/>
    <col min="7176" max="7176" width="17.88671875" style="357" customWidth="1"/>
    <col min="7177" max="7177" width="17.109375" style="357" customWidth="1"/>
    <col min="7178" max="7178" width="14.33203125" style="357" customWidth="1"/>
    <col min="7179" max="7179" width="13.88671875" style="357" customWidth="1"/>
    <col min="7180" max="7180" width="14.33203125" style="357" customWidth="1"/>
    <col min="7181" max="7426" width="11.44140625" style="357"/>
    <col min="7427" max="7427" width="34.33203125" style="357" customWidth="1"/>
    <col min="7428" max="7428" width="16.6640625" style="357" customWidth="1"/>
    <col min="7429" max="7429" width="17.6640625" style="357" customWidth="1"/>
    <col min="7430" max="7430" width="17.88671875" style="357" customWidth="1"/>
    <col min="7431" max="7431" width="17" style="357" customWidth="1"/>
    <col min="7432" max="7432" width="17.88671875" style="357" customWidth="1"/>
    <col min="7433" max="7433" width="17.109375" style="357" customWidth="1"/>
    <col min="7434" max="7434" width="14.33203125" style="357" customWidth="1"/>
    <col min="7435" max="7435" width="13.88671875" style="357" customWidth="1"/>
    <col min="7436" max="7436" width="14.33203125" style="357" customWidth="1"/>
    <col min="7437" max="7682" width="11.44140625" style="357"/>
    <col min="7683" max="7683" width="34.33203125" style="357" customWidth="1"/>
    <col min="7684" max="7684" width="16.6640625" style="357" customWidth="1"/>
    <col min="7685" max="7685" width="17.6640625" style="357" customWidth="1"/>
    <col min="7686" max="7686" width="17.88671875" style="357" customWidth="1"/>
    <col min="7687" max="7687" width="17" style="357" customWidth="1"/>
    <col min="7688" max="7688" width="17.88671875" style="357" customWidth="1"/>
    <col min="7689" max="7689" width="17.109375" style="357" customWidth="1"/>
    <col min="7690" max="7690" width="14.33203125" style="357" customWidth="1"/>
    <col min="7691" max="7691" width="13.88671875" style="357" customWidth="1"/>
    <col min="7692" max="7692" width="14.33203125" style="357" customWidth="1"/>
    <col min="7693" max="7938" width="11.44140625" style="357"/>
    <col min="7939" max="7939" width="34.33203125" style="357" customWidth="1"/>
    <col min="7940" max="7940" width="16.6640625" style="357" customWidth="1"/>
    <col min="7941" max="7941" width="17.6640625" style="357" customWidth="1"/>
    <col min="7942" max="7942" width="17.88671875" style="357" customWidth="1"/>
    <col min="7943" max="7943" width="17" style="357" customWidth="1"/>
    <col min="7944" max="7944" width="17.88671875" style="357" customWidth="1"/>
    <col min="7945" max="7945" width="17.109375" style="357" customWidth="1"/>
    <col min="7946" max="7946" width="14.33203125" style="357" customWidth="1"/>
    <col min="7947" max="7947" width="13.88671875" style="357" customWidth="1"/>
    <col min="7948" max="7948" width="14.33203125" style="357" customWidth="1"/>
    <col min="7949" max="8194" width="11.44140625" style="357"/>
    <col min="8195" max="8195" width="34.33203125" style="357" customWidth="1"/>
    <col min="8196" max="8196" width="16.6640625" style="357" customWidth="1"/>
    <col min="8197" max="8197" width="17.6640625" style="357" customWidth="1"/>
    <col min="8198" max="8198" width="17.88671875" style="357" customWidth="1"/>
    <col min="8199" max="8199" width="17" style="357" customWidth="1"/>
    <col min="8200" max="8200" width="17.88671875" style="357" customWidth="1"/>
    <col min="8201" max="8201" width="17.109375" style="357" customWidth="1"/>
    <col min="8202" max="8202" width="14.33203125" style="357" customWidth="1"/>
    <col min="8203" max="8203" width="13.88671875" style="357" customWidth="1"/>
    <col min="8204" max="8204" width="14.33203125" style="357" customWidth="1"/>
    <col min="8205" max="8450" width="11.44140625" style="357"/>
    <col min="8451" max="8451" width="34.33203125" style="357" customWidth="1"/>
    <col min="8452" max="8452" width="16.6640625" style="357" customWidth="1"/>
    <col min="8453" max="8453" width="17.6640625" style="357" customWidth="1"/>
    <col min="8454" max="8454" width="17.88671875" style="357" customWidth="1"/>
    <col min="8455" max="8455" width="17" style="357" customWidth="1"/>
    <col min="8456" max="8456" width="17.88671875" style="357" customWidth="1"/>
    <col min="8457" max="8457" width="17.109375" style="357" customWidth="1"/>
    <col min="8458" max="8458" width="14.33203125" style="357" customWidth="1"/>
    <col min="8459" max="8459" width="13.88671875" style="357" customWidth="1"/>
    <col min="8460" max="8460" width="14.33203125" style="357" customWidth="1"/>
    <col min="8461" max="8706" width="11.44140625" style="357"/>
    <col min="8707" max="8707" width="34.33203125" style="357" customWidth="1"/>
    <col min="8708" max="8708" width="16.6640625" style="357" customWidth="1"/>
    <col min="8709" max="8709" width="17.6640625" style="357" customWidth="1"/>
    <col min="8710" max="8710" width="17.88671875" style="357" customWidth="1"/>
    <col min="8711" max="8711" width="17" style="357" customWidth="1"/>
    <col min="8712" max="8712" width="17.88671875" style="357" customWidth="1"/>
    <col min="8713" max="8713" width="17.109375" style="357" customWidth="1"/>
    <col min="8714" max="8714" width="14.33203125" style="357" customWidth="1"/>
    <col min="8715" max="8715" width="13.88671875" style="357" customWidth="1"/>
    <col min="8716" max="8716" width="14.33203125" style="357" customWidth="1"/>
    <col min="8717" max="8962" width="11.44140625" style="357"/>
    <col min="8963" max="8963" width="34.33203125" style="357" customWidth="1"/>
    <col min="8964" max="8964" width="16.6640625" style="357" customWidth="1"/>
    <col min="8965" max="8965" width="17.6640625" style="357" customWidth="1"/>
    <col min="8966" max="8966" width="17.88671875" style="357" customWidth="1"/>
    <col min="8967" max="8967" width="17" style="357" customWidth="1"/>
    <col min="8968" max="8968" width="17.88671875" style="357" customWidth="1"/>
    <col min="8969" max="8969" width="17.109375" style="357" customWidth="1"/>
    <col min="8970" max="8970" width="14.33203125" style="357" customWidth="1"/>
    <col min="8971" max="8971" width="13.88671875" style="357" customWidth="1"/>
    <col min="8972" max="8972" width="14.33203125" style="357" customWidth="1"/>
    <col min="8973" max="9218" width="11.44140625" style="357"/>
    <col min="9219" max="9219" width="34.33203125" style="357" customWidth="1"/>
    <col min="9220" max="9220" width="16.6640625" style="357" customWidth="1"/>
    <col min="9221" max="9221" width="17.6640625" style="357" customWidth="1"/>
    <col min="9222" max="9222" width="17.88671875" style="357" customWidth="1"/>
    <col min="9223" max="9223" width="17" style="357" customWidth="1"/>
    <col min="9224" max="9224" width="17.88671875" style="357" customWidth="1"/>
    <col min="9225" max="9225" width="17.109375" style="357" customWidth="1"/>
    <col min="9226" max="9226" width="14.33203125" style="357" customWidth="1"/>
    <col min="9227" max="9227" width="13.88671875" style="357" customWidth="1"/>
    <col min="9228" max="9228" width="14.33203125" style="357" customWidth="1"/>
    <col min="9229" max="9474" width="11.44140625" style="357"/>
    <col min="9475" max="9475" width="34.33203125" style="357" customWidth="1"/>
    <col min="9476" max="9476" width="16.6640625" style="357" customWidth="1"/>
    <col min="9477" max="9477" width="17.6640625" style="357" customWidth="1"/>
    <col min="9478" max="9478" width="17.88671875" style="357" customWidth="1"/>
    <col min="9479" max="9479" width="17" style="357" customWidth="1"/>
    <col min="9480" max="9480" width="17.88671875" style="357" customWidth="1"/>
    <col min="9481" max="9481" width="17.109375" style="357" customWidth="1"/>
    <col min="9482" max="9482" width="14.33203125" style="357" customWidth="1"/>
    <col min="9483" max="9483" width="13.88671875" style="357" customWidth="1"/>
    <col min="9484" max="9484" width="14.33203125" style="357" customWidth="1"/>
    <col min="9485" max="9730" width="11.44140625" style="357"/>
    <col min="9731" max="9731" width="34.33203125" style="357" customWidth="1"/>
    <col min="9732" max="9732" width="16.6640625" style="357" customWidth="1"/>
    <col min="9733" max="9733" width="17.6640625" style="357" customWidth="1"/>
    <col min="9734" max="9734" width="17.88671875" style="357" customWidth="1"/>
    <col min="9735" max="9735" width="17" style="357" customWidth="1"/>
    <col min="9736" max="9736" width="17.88671875" style="357" customWidth="1"/>
    <col min="9737" max="9737" width="17.109375" style="357" customWidth="1"/>
    <col min="9738" max="9738" width="14.33203125" style="357" customWidth="1"/>
    <col min="9739" max="9739" width="13.88671875" style="357" customWidth="1"/>
    <col min="9740" max="9740" width="14.33203125" style="357" customWidth="1"/>
    <col min="9741" max="9986" width="11.44140625" style="357"/>
    <col min="9987" max="9987" width="34.33203125" style="357" customWidth="1"/>
    <col min="9988" max="9988" width="16.6640625" style="357" customWidth="1"/>
    <col min="9989" max="9989" width="17.6640625" style="357" customWidth="1"/>
    <col min="9990" max="9990" width="17.88671875" style="357" customWidth="1"/>
    <col min="9991" max="9991" width="17" style="357" customWidth="1"/>
    <col min="9992" max="9992" width="17.88671875" style="357" customWidth="1"/>
    <col min="9993" max="9993" width="17.109375" style="357" customWidth="1"/>
    <col min="9994" max="9994" width="14.33203125" style="357" customWidth="1"/>
    <col min="9995" max="9995" width="13.88671875" style="357" customWidth="1"/>
    <col min="9996" max="9996" width="14.33203125" style="357" customWidth="1"/>
    <col min="9997" max="10242" width="11.44140625" style="357"/>
    <col min="10243" max="10243" width="34.33203125" style="357" customWidth="1"/>
    <col min="10244" max="10244" width="16.6640625" style="357" customWidth="1"/>
    <col min="10245" max="10245" width="17.6640625" style="357" customWidth="1"/>
    <col min="10246" max="10246" width="17.88671875" style="357" customWidth="1"/>
    <col min="10247" max="10247" width="17" style="357" customWidth="1"/>
    <col min="10248" max="10248" width="17.88671875" style="357" customWidth="1"/>
    <col min="10249" max="10249" width="17.109375" style="357" customWidth="1"/>
    <col min="10250" max="10250" width="14.33203125" style="357" customWidth="1"/>
    <col min="10251" max="10251" width="13.88671875" style="357" customWidth="1"/>
    <col min="10252" max="10252" width="14.33203125" style="357" customWidth="1"/>
    <col min="10253" max="10498" width="11.44140625" style="357"/>
    <col min="10499" max="10499" width="34.33203125" style="357" customWidth="1"/>
    <col min="10500" max="10500" width="16.6640625" style="357" customWidth="1"/>
    <col min="10501" max="10501" width="17.6640625" style="357" customWidth="1"/>
    <col min="10502" max="10502" width="17.88671875" style="357" customWidth="1"/>
    <col min="10503" max="10503" width="17" style="357" customWidth="1"/>
    <col min="10504" max="10504" width="17.88671875" style="357" customWidth="1"/>
    <col min="10505" max="10505" width="17.109375" style="357" customWidth="1"/>
    <col min="10506" max="10506" width="14.33203125" style="357" customWidth="1"/>
    <col min="10507" max="10507" width="13.88671875" style="357" customWidth="1"/>
    <col min="10508" max="10508" width="14.33203125" style="357" customWidth="1"/>
    <col min="10509" max="10754" width="11.44140625" style="357"/>
    <col min="10755" max="10755" width="34.33203125" style="357" customWidth="1"/>
    <col min="10756" max="10756" width="16.6640625" style="357" customWidth="1"/>
    <col min="10757" max="10757" width="17.6640625" style="357" customWidth="1"/>
    <col min="10758" max="10758" width="17.88671875" style="357" customWidth="1"/>
    <col min="10759" max="10759" width="17" style="357" customWidth="1"/>
    <col min="10760" max="10760" width="17.88671875" style="357" customWidth="1"/>
    <col min="10761" max="10761" width="17.109375" style="357" customWidth="1"/>
    <col min="10762" max="10762" width="14.33203125" style="357" customWidth="1"/>
    <col min="10763" max="10763" width="13.88671875" style="357" customWidth="1"/>
    <col min="10764" max="10764" width="14.33203125" style="357" customWidth="1"/>
    <col min="10765" max="11010" width="11.44140625" style="357"/>
    <col min="11011" max="11011" width="34.33203125" style="357" customWidth="1"/>
    <col min="11012" max="11012" width="16.6640625" style="357" customWidth="1"/>
    <col min="11013" max="11013" width="17.6640625" style="357" customWidth="1"/>
    <col min="11014" max="11014" width="17.88671875" style="357" customWidth="1"/>
    <col min="11015" max="11015" width="17" style="357" customWidth="1"/>
    <col min="11016" max="11016" width="17.88671875" style="357" customWidth="1"/>
    <col min="11017" max="11017" width="17.109375" style="357" customWidth="1"/>
    <col min="11018" max="11018" width="14.33203125" style="357" customWidth="1"/>
    <col min="11019" max="11019" width="13.88671875" style="357" customWidth="1"/>
    <col min="11020" max="11020" width="14.33203125" style="357" customWidth="1"/>
    <col min="11021" max="11266" width="11.44140625" style="357"/>
    <col min="11267" max="11267" width="34.33203125" style="357" customWidth="1"/>
    <col min="11268" max="11268" width="16.6640625" style="357" customWidth="1"/>
    <col min="11269" max="11269" width="17.6640625" style="357" customWidth="1"/>
    <col min="11270" max="11270" width="17.88671875" style="357" customWidth="1"/>
    <col min="11271" max="11271" width="17" style="357" customWidth="1"/>
    <col min="11272" max="11272" width="17.88671875" style="357" customWidth="1"/>
    <col min="11273" max="11273" width="17.109375" style="357" customWidth="1"/>
    <col min="11274" max="11274" width="14.33203125" style="357" customWidth="1"/>
    <col min="11275" max="11275" width="13.88671875" style="357" customWidth="1"/>
    <col min="11276" max="11276" width="14.33203125" style="357" customWidth="1"/>
    <col min="11277" max="11522" width="11.44140625" style="357"/>
    <col min="11523" max="11523" width="34.33203125" style="357" customWidth="1"/>
    <col min="11524" max="11524" width="16.6640625" style="357" customWidth="1"/>
    <col min="11525" max="11525" width="17.6640625" style="357" customWidth="1"/>
    <col min="11526" max="11526" width="17.88671875" style="357" customWidth="1"/>
    <col min="11527" max="11527" width="17" style="357" customWidth="1"/>
    <col min="11528" max="11528" width="17.88671875" style="357" customWidth="1"/>
    <col min="11529" max="11529" width="17.109375" style="357" customWidth="1"/>
    <col min="11530" max="11530" width="14.33203125" style="357" customWidth="1"/>
    <col min="11531" max="11531" width="13.88671875" style="357" customWidth="1"/>
    <col min="11532" max="11532" width="14.33203125" style="357" customWidth="1"/>
    <col min="11533" max="11778" width="11.44140625" style="357"/>
    <col min="11779" max="11779" width="34.33203125" style="357" customWidth="1"/>
    <col min="11780" max="11780" width="16.6640625" style="357" customWidth="1"/>
    <col min="11781" max="11781" width="17.6640625" style="357" customWidth="1"/>
    <col min="11782" max="11782" width="17.88671875" style="357" customWidth="1"/>
    <col min="11783" max="11783" width="17" style="357" customWidth="1"/>
    <col min="11784" max="11784" width="17.88671875" style="357" customWidth="1"/>
    <col min="11785" max="11785" width="17.109375" style="357" customWidth="1"/>
    <col min="11786" max="11786" width="14.33203125" style="357" customWidth="1"/>
    <col min="11787" max="11787" width="13.88671875" style="357" customWidth="1"/>
    <col min="11788" max="11788" width="14.33203125" style="357" customWidth="1"/>
    <col min="11789" max="12034" width="11.44140625" style="357"/>
    <col min="12035" max="12035" width="34.33203125" style="357" customWidth="1"/>
    <col min="12036" max="12036" width="16.6640625" style="357" customWidth="1"/>
    <col min="12037" max="12037" width="17.6640625" style="357" customWidth="1"/>
    <col min="12038" max="12038" width="17.88671875" style="357" customWidth="1"/>
    <col min="12039" max="12039" width="17" style="357" customWidth="1"/>
    <col min="12040" max="12040" width="17.88671875" style="357" customWidth="1"/>
    <col min="12041" max="12041" width="17.109375" style="357" customWidth="1"/>
    <col min="12042" max="12042" width="14.33203125" style="357" customWidth="1"/>
    <col min="12043" max="12043" width="13.88671875" style="357" customWidth="1"/>
    <col min="12044" max="12044" width="14.33203125" style="357" customWidth="1"/>
    <col min="12045" max="12290" width="11.44140625" style="357"/>
    <col min="12291" max="12291" width="34.33203125" style="357" customWidth="1"/>
    <col min="12292" max="12292" width="16.6640625" style="357" customWidth="1"/>
    <col min="12293" max="12293" width="17.6640625" style="357" customWidth="1"/>
    <col min="12294" max="12294" width="17.88671875" style="357" customWidth="1"/>
    <col min="12295" max="12295" width="17" style="357" customWidth="1"/>
    <col min="12296" max="12296" width="17.88671875" style="357" customWidth="1"/>
    <col min="12297" max="12297" width="17.109375" style="357" customWidth="1"/>
    <col min="12298" max="12298" width="14.33203125" style="357" customWidth="1"/>
    <col min="12299" max="12299" width="13.88671875" style="357" customWidth="1"/>
    <col min="12300" max="12300" width="14.33203125" style="357" customWidth="1"/>
    <col min="12301" max="12546" width="11.44140625" style="357"/>
    <col min="12547" max="12547" width="34.33203125" style="357" customWidth="1"/>
    <col min="12548" max="12548" width="16.6640625" style="357" customWidth="1"/>
    <col min="12549" max="12549" width="17.6640625" style="357" customWidth="1"/>
    <col min="12550" max="12550" width="17.88671875" style="357" customWidth="1"/>
    <col min="12551" max="12551" width="17" style="357" customWidth="1"/>
    <col min="12552" max="12552" width="17.88671875" style="357" customWidth="1"/>
    <col min="12553" max="12553" width="17.109375" style="357" customWidth="1"/>
    <col min="12554" max="12554" width="14.33203125" style="357" customWidth="1"/>
    <col min="12555" max="12555" width="13.88671875" style="357" customWidth="1"/>
    <col min="12556" max="12556" width="14.33203125" style="357" customWidth="1"/>
    <col min="12557" max="12802" width="11.44140625" style="357"/>
    <col min="12803" max="12803" width="34.33203125" style="357" customWidth="1"/>
    <col min="12804" max="12804" width="16.6640625" style="357" customWidth="1"/>
    <col min="12805" max="12805" width="17.6640625" style="357" customWidth="1"/>
    <col min="12806" max="12806" width="17.88671875" style="357" customWidth="1"/>
    <col min="12807" max="12807" width="17" style="357" customWidth="1"/>
    <col min="12808" max="12808" width="17.88671875" style="357" customWidth="1"/>
    <col min="12809" max="12809" width="17.109375" style="357" customWidth="1"/>
    <col min="12810" max="12810" width="14.33203125" style="357" customWidth="1"/>
    <col min="12811" max="12811" width="13.88671875" style="357" customWidth="1"/>
    <col min="12812" max="12812" width="14.33203125" style="357" customWidth="1"/>
    <col min="12813" max="13058" width="11.44140625" style="357"/>
    <col min="13059" max="13059" width="34.33203125" style="357" customWidth="1"/>
    <col min="13060" max="13060" width="16.6640625" style="357" customWidth="1"/>
    <col min="13061" max="13061" width="17.6640625" style="357" customWidth="1"/>
    <col min="13062" max="13062" width="17.88671875" style="357" customWidth="1"/>
    <col min="13063" max="13063" width="17" style="357" customWidth="1"/>
    <col min="13064" max="13064" width="17.88671875" style="357" customWidth="1"/>
    <col min="13065" max="13065" width="17.109375" style="357" customWidth="1"/>
    <col min="13066" max="13066" width="14.33203125" style="357" customWidth="1"/>
    <col min="13067" max="13067" width="13.88671875" style="357" customWidth="1"/>
    <col min="13068" max="13068" width="14.33203125" style="357" customWidth="1"/>
    <col min="13069" max="13314" width="11.44140625" style="357"/>
    <col min="13315" max="13315" width="34.33203125" style="357" customWidth="1"/>
    <col min="13316" max="13316" width="16.6640625" style="357" customWidth="1"/>
    <col min="13317" max="13317" width="17.6640625" style="357" customWidth="1"/>
    <col min="13318" max="13318" width="17.88671875" style="357" customWidth="1"/>
    <col min="13319" max="13319" width="17" style="357" customWidth="1"/>
    <col min="13320" max="13320" width="17.88671875" style="357" customWidth="1"/>
    <col min="13321" max="13321" width="17.109375" style="357" customWidth="1"/>
    <col min="13322" max="13322" width="14.33203125" style="357" customWidth="1"/>
    <col min="13323" max="13323" width="13.88671875" style="357" customWidth="1"/>
    <col min="13324" max="13324" width="14.33203125" style="357" customWidth="1"/>
    <col min="13325" max="13570" width="11.44140625" style="357"/>
    <col min="13571" max="13571" width="34.33203125" style="357" customWidth="1"/>
    <col min="13572" max="13572" width="16.6640625" style="357" customWidth="1"/>
    <col min="13573" max="13573" width="17.6640625" style="357" customWidth="1"/>
    <col min="13574" max="13574" width="17.88671875" style="357" customWidth="1"/>
    <col min="13575" max="13575" width="17" style="357" customWidth="1"/>
    <col min="13576" max="13576" width="17.88671875" style="357" customWidth="1"/>
    <col min="13577" max="13577" width="17.109375" style="357" customWidth="1"/>
    <col min="13578" max="13578" width="14.33203125" style="357" customWidth="1"/>
    <col min="13579" max="13579" width="13.88671875" style="357" customWidth="1"/>
    <col min="13580" max="13580" width="14.33203125" style="357" customWidth="1"/>
    <col min="13581" max="13826" width="11.44140625" style="357"/>
    <col min="13827" max="13827" width="34.33203125" style="357" customWidth="1"/>
    <col min="13828" max="13828" width="16.6640625" style="357" customWidth="1"/>
    <col min="13829" max="13829" width="17.6640625" style="357" customWidth="1"/>
    <col min="13830" max="13830" width="17.88671875" style="357" customWidth="1"/>
    <col min="13831" max="13831" width="17" style="357" customWidth="1"/>
    <col min="13832" max="13832" width="17.88671875" style="357" customWidth="1"/>
    <col min="13833" max="13833" width="17.109375" style="357" customWidth="1"/>
    <col min="13834" max="13834" width="14.33203125" style="357" customWidth="1"/>
    <col min="13835" max="13835" width="13.88671875" style="357" customWidth="1"/>
    <col min="13836" max="13836" width="14.33203125" style="357" customWidth="1"/>
    <col min="13837" max="14082" width="11.44140625" style="357"/>
    <col min="14083" max="14083" width="34.33203125" style="357" customWidth="1"/>
    <col min="14084" max="14084" width="16.6640625" style="357" customWidth="1"/>
    <col min="14085" max="14085" width="17.6640625" style="357" customWidth="1"/>
    <col min="14086" max="14086" width="17.88671875" style="357" customWidth="1"/>
    <col min="14087" max="14087" width="17" style="357" customWidth="1"/>
    <col min="14088" max="14088" width="17.88671875" style="357" customWidth="1"/>
    <col min="14089" max="14089" width="17.109375" style="357" customWidth="1"/>
    <col min="14090" max="14090" width="14.33203125" style="357" customWidth="1"/>
    <col min="14091" max="14091" width="13.88671875" style="357" customWidth="1"/>
    <col min="14092" max="14092" width="14.33203125" style="357" customWidth="1"/>
    <col min="14093" max="14338" width="11.44140625" style="357"/>
    <col min="14339" max="14339" width="34.33203125" style="357" customWidth="1"/>
    <col min="14340" max="14340" width="16.6640625" style="357" customWidth="1"/>
    <col min="14341" max="14341" width="17.6640625" style="357" customWidth="1"/>
    <col min="14342" max="14342" width="17.88671875" style="357" customWidth="1"/>
    <col min="14343" max="14343" width="17" style="357" customWidth="1"/>
    <col min="14344" max="14344" width="17.88671875" style="357" customWidth="1"/>
    <col min="14345" max="14345" width="17.109375" style="357" customWidth="1"/>
    <col min="14346" max="14346" width="14.33203125" style="357" customWidth="1"/>
    <col min="14347" max="14347" width="13.88671875" style="357" customWidth="1"/>
    <col min="14348" max="14348" width="14.33203125" style="357" customWidth="1"/>
    <col min="14349" max="14594" width="11.44140625" style="357"/>
    <col min="14595" max="14595" width="34.33203125" style="357" customWidth="1"/>
    <col min="14596" max="14596" width="16.6640625" style="357" customWidth="1"/>
    <col min="14597" max="14597" width="17.6640625" style="357" customWidth="1"/>
    <col min="14598" max="14598" width="17.88671875" style="357" customWidth="1"/>
    <col min="14599" max="14599" width="17" style="357" customWidth="1"/>
    <col min="14600" max="14600" width="17.88671875" style="357" customWidth="1"/>
    <col min="14601" max="14601" width="17.109375" style="357" customWidth="1"/>
    <col min="14602" max="14602" width="14.33203125" style="357" customWidth="1"/>
    <col min="14603" max="14603" width="13.88671875" style="357" customWidth="1"/>
    <col min="14604" max="14604" width="14.33203125" style="357" customWidth="1"/>
    <col min="14605" max="14850" width="11.44140625" style="357"/>
    <col min="14851" max="14851" width="34.33203125" style="357" customWidth="1"/>
    <col min="14852" max="14852" width="16.6640625" style="357" customWidth="1"/>
    <col min="14853" max="14853" width="17.6640625" style="357" customWidth="1"/>
    <col min="14854" max="14854" width="17.88671875" style="357" customWidth="1"/>
    <col min="14855" max="14855" width="17" style="357" customWidth="1"/>
    <col min="14856" max="14856" width="17.88671875" style="357" customWidth="1"/>
    <col min="14857" max="14857" width="17.109375" style="357" customWidth="1"/>
    <col min="14858" max="14858" width="14.33203125" style="357" customWidth="1"/>
    <col min="14859" max="14859" width="13.88671875" style="357" customWidth="1"/>
    <col min="14860" max="14860" width="14.33203125" style="357" customWidth="1"/>
    <col min="14861" max="15106" width="11.44140625" style="357"/>
    <col min="15107" max="15107" width="34.33203125" style="357" customWidth="1"/>
    <col min="15108" max="15108" width="16.6640625" style="357" customWidth="1"/>
    <col min="15109" max="15109" width="17.6640625" style="357" customWidth="1"/>
    <col min="15110" max="15110" width="17.88671875" style="357" customWidth="1"/>
    <col min="15111" max="15111" width="17" style="357" customWidth="1"/>
    <col min="15112" max="15112" width="17.88671875" style="357" customWidth="1"/>
    <col min="15113" max="15113" width="17.109375" style="357" customWidth="1"/>
    <col min="15114" max="15114" width="14.33203125" style="357" customWidth="1"/>
    <col min="15115" max="15115" width="13.88671875" style="357" customWidth="1"/>
    <col min="15116" max="15116" width="14.33203125" style="357" customWidth="1"/>
    <col min="15117" max="15362" width="11.44140625" style="357"/>
    <col min="15363" max="15363" width="34.33203125" style="357" customWidth="1"/>
    <col min="15364" max="15364" width="16.6640625" style="357" customWidth="1"/>
    <col min="15365" max="15365" width="17.6640625" style="357" customWidth="1"/>
    <col min="15366" max="15366" width="17.88671875" style="357" customWidth="1"/>
    <col min="15367" max="15367" width="17" style="357" customWidth="1"/>
    <col min="15368" max="15368" width="17.88671875" style="357" customWidth="1"/>
    <col min="15369" max="15369" width="17.109375" style="357" customWidth="1"/>
    <col min="15370" max="15370" width="14.33203125" style="357" customWidth="1"/>
    <col min="15371" max="15371" width="13.88671875" style="357" customWidth="1"/>
    <col min="15372" max="15372" width="14.33203125" style="357" customWidth="1"/>
    <col min="15373" max="15618" width="11.44140625" style="357"/>
    <col min="15619" max="15619" width="34.33203125" style="357" customWidth="1"/>
    <col min="15620" max="15620" width="16.6640625" style="357" customWidth="1"/>
    <col min="15621" max="15621" width="17.6640625" style="357" customWidth="1"/>
    <col min="15622" max="15622" width="17.88671875" style="357" customWidth="1"/>
    <col min="15623" max="15623" width="17" style="357" customWidth="1"/>
    <col min="15624" max="15624" width="17.88671875" style="357" customWidth="1"/>
    <col min="15625" max="15625" width="17.109375" style="357" customWidth="1"/>
    <col min="15626" max="15626" width="14.33203125" style="357" customWidth="1"/>
    <col min="15627" max="15627" width="13.88671875" style="357" customWidth="1"/>
    <col min="15628" max="15628" width="14.33203125" style="357" customWidth="1"/>
    <col min="15629" max="15874" width="11.44140625" style="357"/>
    <col min="15875" max="15875" width="34.33203125" style="357" customWidth="1"/>
    <col min="15876" max="15876" width="16.6640625" style="357" customWidth="1"/>
    <col min="15877" max="15877" width="17.6640625" style="357" customWidth="1"/>
    <col min="15878" max="15878" width="17.88671875" style="357" customWidth="1"/>
    <col min="15879" max="15879" width="17" style="357" customWidth="1"/>
    <col min="15880" max="15880" width="17.88671875" style="357" customWidth="1"/>
    <col min="15881" max="15881" width="17.109375" style="357" customWidth="1"/>
    <col min="15882" max="15882" width="14.33203125" style="357" customWidth="1"/>
    <col min="15883" max="15883" width="13.88671875" style="357" customWidth="1"/>
    <col min="15884" max="15884" width="14.33203125" style="357" customWidth="1"/>
    <col min="15885" max="16130" width="11.44140625" style="357"/>
    <col min="16131" max="16131" width="34.33203125" style="357" customWidth="1"/>
    <col min="16132" max="16132" width="16.6640625" style="357" customWidth="1"/>
    <col min="16133" max="16133" width="17.6640625" style="357" customWidth="1"/>
    <col min="16134" max="16134" width="17.88671875" style="357" customWidth="1"/>
    <col min="16135" max="16135" width="17" style="357" customWidth="1"/>
    <col min="16136" max="16136" width="17.88671875" style="357" customWidth="1"/>
    <col min="16137" max="16137" width="17.109375" style="357" customWidth="1"/>
    <col min="16138" max="16138" width="14.33203125" style="357" customWidth="1"/>
    <col min="16139" max="16139" width="13.88671875" style="357" customWidth="1"/>
    <col min="16140" max="16140" width="14.33203125" style="357" customWidth="1"/>
    <col min="16141" max="16384" width="11.44140625" style="357"/>
  </cols>
  <sheetData>
    <row r="1" spans="3:12" ht="19.95" customHeight="1" x14ac:dyDescent="0.25">
      <c r="C1" s="631" t="s">
        <v>428</v>
      </c>
      <c r="D1" s="631"/>
      <c r="E1" s="631"/>
      <c r="F1" s="631"/>
      <c r="G1" s="631"/>
      <c r="H1" s="631"/>
      <c r="I1" s="631"/>
    </row>
    <row r="3" spans="3:12" ht="14.4" customHeight="1" x14ac:dyDescent="0.25">
      <c r="C3" s="632" t="s">
        <v>184</v>
      </c>
      <c r="D3" s="633"/>
      <c r="E3" s="634"/>
      <c r="F3" s="359"/>
    </row>
    <row r="4" spans="3:12" x14ac:dyDescent="0.25">
      <c r="C4" s="635"/>
      <c r="D4" s="636"/>
      <c r="E4" s="637"/>
      <c r="F4" s="360"/>
    </row>
    <row r="5" spans="3:12" x14ac:dyDescent="0.25">
      <c r="C5" s="375"/>
      <c r="D5" s="376" t="s">
        <v>23</v>
      </c>
      <c r="E5" s="377" t="s">
        <v>198</v>
      </c>
      <c r="F5" s="359"/>
    </row>
    <row r="6" spans="3:12" x14ac:dyDescent="0.25">
      <c r="C6" s="368" t="s">
        <v>40</v>
      </c>
      <c r="D6" s="359"/>
      <c r="E6" s="369">
        <v>12000</v>
      </c>
      <c r="F6" s="359"/>
    </row>
    <row r="7" spans="3:12" x14ac:dyDescent="0.25">
      <c r="C7" s="368" t="s">
        <v>42</v>
      </c>
      <c r="D7" s="359"/>
      <c r="E7" s="369">
        <v>10000</v>
      </c>
      <c r="F7" s="359"/>
    </row>
    <row r="8" spans="3:12" x14ac:dyDescent="0.25">
      <c r="C8" s="368" t="s">
        <v>44</v>
      </c>
      <c r="D8" s="359"/>
      <c r="E8" s="369">
        <v>400000</v>
      </c>
      <c r="F8" s="359"/>
    </row>
    <row r="9" spans="3:12" x14ac:dyDescent="0.25">
      <c r="C9" s="368" t="s">
        <v>46</v>
      </c>
      <c r="D9" s="359"/>
      <c r="E9" s="369">
        <v>9000</v>
      </c>
      <c r="F9" s="359"/>
    </row>
    <row r="10" spans="3:12" x14ac:dyDescent="0.25">
      <c r="C10" s="368" t="s">
        <v>361</v>
      </c>
      <c r="D10" s="359"/>
      <c r="E10" s="370">
        <v>0.125</v>
      </c>
      <c r="F10" s="359"/>
    </row>
    <row r="11" spans="3:12" x14ac:dyDescent="0.25">
      <c r="C11" s="368" t="s">
        <v>153</v>
      </c>
      <c r="D11" s="359"/>
      <c r="E11" s="370">
        <v>0.35</v>
      </c>
      <c r="F11" s="361"/>
    </row>
    <row r="12" spans="3:12" x14ac:dyDescent="0.25">
      <c r="C12" s="368" t="s">
        <v>37</v>
      </c>
      <c r="D12" s="359">
        <v>15000000</v>
      </c>
      <c r="E12" s="369"/>
      <c r="F12" s="359"/>
      <c r="G12" s="362"/>
      <c r="H12" s="362"/>
      <c r="I12" s="362"/>
      <c r="J12" s="362"/>
      <c r="K12" s="362"/>
      <c r="L12" s="362"/>
    </row>
    <row r="13" spans="3:12" x14ac:dyDescent="0.25">
      <c r="C13" s="368" t="s">
        <v>296</v>
      </c>
      <c r="D13" s="359"/>
      <c r="E13" s="369">
        <v>5000000</v>
      </c>
      <c r="F13" s="359"/>
    </row>
    <row r="14" spans="3:12" x14ac:dyDescent="0.25">
      <c r="C14" s="368" t="s">
        <v>362</v>
      </c>
      <c r="D14" s="359">
        <v>7000000</v>
      </c>
      <c r="E14" s="369"/>
      <c r="F14" s="361"/>
    </row>
    <row r="15" spans="3:12" x14ac:dyDescent="0.25">
      <c r="C15" s="368" t="s">
        <v>39</v>
      </c>
      <c r="D15" s="359">
        <v>6500000</v>
      </c>
      <c r="E15" s="369"/>
      <c r="F15" s="359"/>
    </row>
    <row r="16" spans="3:12" x14ac:dyDescent="0.25">
      <c r="C16" s="368" t="s">
        <v>41</v>
      </c>
      <c r="D16" s="359"/>
      <c r="E16" s="369">
        <v>4500000</v>
      </c>
      <c r="F16" s="359"/>
    </row>
    <row r="17" spans="3:9" x14ac:dyDescent="0.25">
      <c r="C17" s="368" t="s">
        <v>43</v>
      </c>
      <c r="D17" s="359">
        <v>900000</v>
      </c>
      <c r="E17" s="369"/>
      <c r="F17" s="359"/>
    </row>
    <row r="18" spans="3:9" x14ac:dyDescent="0.25">
      <c r="C18" s="368" t="s">
        <v>216</v>
      </c>
      <c r="D18" s="363">
        <v>0.02</v>
      </c>
      <c r="E18" s="369"/>
      <c r="F18" s="359"/>
    </row>
    <row r="19" spans="3:9" ht="16.2" x14ac:dyDescent="0.35">
      <c r="C19" s="8" t="s">
        <v>402</v>
      </c>
      <c r="D19" s="349">
        <v>0.05</v>
      </c>
      <c r="E19" s="369"/>
      <c r="F19" s="359"/>
    </row>
    <row r="20" spans="3:9" ht="16.2" x14ac:dyDescent="0.35">
      <c r="C20" s="8" t="s">
        <v>403</v>
      </c>
      <c r="D20" s="349">
        <v>0.08</v>
      </c>
      <c r="E20" s="369"/>
      <c r="F20" s="359"/>
    </row>
    <row r="21" spans="3:9" x14ac:dyDescent="0.25">
      <c r="C21" s="20"/>
      <c r="D21" s="365">
        <v>1.3</v>
      </c>
      <c r="E21" s="369"/>
      <c r="F21" s="359"/>
    </row>
    <row r="22" spans="3:9" x14ac:dyDescent="0.25">
      <c r="C22" s="371"/>
      <c r="D22" s="372"/>
      <c r="E22" s="373"/>
      <c r="F22" s="359"/>
    </row>
    <row r="23" spans="3:9" ht="7.2" customHeight="1" x14ac:dyDescent="0.25"/>
    <row r="24" spans="3:9" ht="7.2" customHeight="1" x14ac:dyDescent="0.25">
      <c r="C24" s="366"/>
    </row>
    <row r="25" spans="3:9" x14ac:dyDescent="0.25">
      <c r="C25" s="384" t="s">
        <v>168</v>
      </c>
      <c r="D25" s="378" t="s">
        <v>23</v>
      </c>
      <c r="E25" s="378" t="s">
        <v>0</v>
      </c>
      <c r="F25" s="378" t="s">
        <v>1</v>
      </c>
      <c r="G25" s="378" t="s">
        <v>2</v>
      </c>
      <c r="H25" s="378" t="s">
        <v>3</v>
      </c>
      <c r="I25" s="379" t="s">
        <v>38</v>
      </c>
    </row>
    <row r="26" spans="3:9" x14ac:dyDescent="0.25">
      <c r="C26" s="368" t="s">
        <v>24</v>
      </c>
      <c r="D26" s="359"/>
      <c r="E26" s="359">
        <f>+$E$6*$E$7</f>
        <v>120000000</v>
      </c>
      <c r="F26" s="359">
        <f>+$E$6*$E$7</f>
        <v>120000000</v>
      </c>
      <c r="G26" s="359">
        <f>+$E$6*$E$7</f>
        <v>120000000</v>
      </c>
      <c r="H26" s="359">
        <f>+$E$6*$E$7</f>
        <v>120000000</v>
      </c>
      <c r="I26" s="369">
        <f>+$E$6*$E$7</f>
        <v>120000000</v>
      </c>
    </row>
    <row r="27" spans="3:9" x14ac:dyDescent="0.25">
      <c r="C27" s="368" t="s">
        <v>302</v>
      </c>
      <c r="D27" s="359"/>
      <c r="E27" s="359"/>
      <c r="F27" s="359"/>
      <c r="G27" s="359"/>
      <c r="H27" s="359"/>
      <c r="I27" s="369">
        <f>+E13-(D12+E30+F30+G30+H30+I30)</f>
        <v>-625000</v>
      </c>
    </row>
    <row r="28" spans="3:9" x14ac:dyDescent="0.25">
      <c r="C28" s="368" t="s">
        <v>46</v>
      </c>
      <c r="D28" s="359"/>
      <c r="E28" s="359">
        <f>-$E$9*$E$6</f>
        <v>-108000000</v>
      </c>
      <c r="F28" s="359">
        <f>-$E$9*$E$6</f>
        <v>-108000000</v>
      </c>
      <c r="G28" s="359">
        <f>-$E$9*$E$6</f>
        <v>-108000000</v>
      </c>
      <c r="H28" s="359">
        <f>-$E$9*$E$6</f>
        <v>-108000000</v>
      </c>
      <c r="I28" s="369">
        <f>-$E$9*$E$6</f>
        <v>-108000000</v>
      </c>
    </row>
    <row r="29" spans="3:9" x14ac:dyDescent="0.25">
      <c r="C29" s="368" t="s">
        <v>44</v>
      </c>
      <c r="D29" s="359"/>
      <c r="E29" s="359">
        <f>-$E$8</f>
        <v>-400000</v>
      </c>
      <c r="F29" s="359">
        <f>-$E$8</f>
        <v>-400000</v>
      </c>
      <c r="G29" s="359">
        <f>-$E$8</f>
        <v>-400000</v>
      </c>
      <c r="H29" s="359">
        <f>-$E$8</f>
        <v>-400000</v>
      </c>
      <c r="I29" s="369">
        <f>-$E$8</f>
        <v>-400000</v>
      </c>
    </row>
    <row r="30" spans="3:9" x14ac:dyDescent="0.25">
      <c r="C30" s="368" t="s">
        <v>6</v>
      </c>
      <c r="D30" s="359"/>
      <c r="E30" s="359">
        <f>-$D$12*$E$10</f>
        <v>-1875000</v>
      </c>
      <c r="F30" s="359">
        <f t="shared" ref="F30:I30" si="0">-$D$12*$E$10</f>
        <v>-1875000</v>
      </c>
      <c r="G30" s="359">
        <f t="shared" si="0"/>
        <v>-1875000</v>
      </c>
      <c r="H30" s="359">
        <f t="shared" si="0"/>
        <v>-1875000</v>
      </c>
      <c r="I30" s="369">
        <f t="shared" si="0"/>
        <v>-1875000</v>
      </c>
    </row>
    <row r="31" spans="3:9" x14ac:dyDescent="0.25">
      <c r="C31" s="368" t="s">
        <v>94</v>
      </c>
      <c r="D31" s="359"/>
      <c r="E31" s="359">
        <f>-SUM(E26:E30)*$E$11</f>
        <v>-3403750</v>
      </c>
      <c r="F31" s="359">
        <f>-SUM(F26:F30)*$E$11</f>
        <v>-3403750</v>
      </c>
      <c r="G31" s="359">
        <f>-SUM(G26:G30)*$E$11</f>
        <v>-3403750</v>
      </c>
      <c r="H31" s="359">
        <f>-SUM(H26:H30)*$E$11</f>
        <v>-3403750</v>
      </c>
      <c r="I31" s="369">
        <f>-SUM(I26:I30)*$E$11</f>
        <v>-3185000</v>
      </c>
    </row>
    <row r="32" spans="3:9" x14ac:dyDescent="0.25">
      <c r="C32" s="381" t="s">
        <v>26</v>
      </c>
      <c r="D32" s="382"/>
      <c r="E32" s="382">
        <f>SUM(E26:E31)</f>
        <v>6321250</v>
      </c>
      <c r="F32" s="382">
        <f t="shared" ref="F32:I32" si="1">SUM(F26:F31)</f>
        <v>6321250</v>
      </c>
      <c r="G32" s="382">
        <f t="shared" si="1"/>
        <v>6321250</v>
      </c>
      <c r="H32" s="382">
        <f t="shared" si="1"/>
        <v>6321250</v>
      </c>
      <c r="I32" s="383">
        <f t="shared" si="1"/>
        <v>5915000</v>
      </c>
    </row>
    <row r="34" spans="3:9" x14ac:dyDescent="0.25">
      <c r="C34" s="384" t="s">
        <v>157</v>
      </c>
      <c r="D34" s="378" t="s">
        <v>23</v>
      </c>
      <c r="E34" s="378" t="s">
        <v>0</v>
      </c>
      <c r="F34" s="378" t="s">
        <v>1</v>
      </c>
      <c r="G34" s="378" t="s">
        <v>2</v>
      </c>
      <c r="H34" s="378" t="s">
        <v>3</v>
      </c>
      <c r="I34" s="379" t="s">
        <v>38</v>
      </c>
    </row>
    <row r="35" spans="3:9" x14ac:dyDescent="0.25">
      <c r="C35" s="368" t="s">
        <v>24</v>
      </c>
      <c r="D35" s="359"/>
      <c r="E35" s="359">
        <f>+E26</f>
        <v>120000000</v>
      </c>
      <c r="F35" s="359">
        <f>+F26</f>
        <v>120000000</v>
      </c>
      <c r="G35" s="359">
        <f>+G26</f>
        <v>120000000</v>
      </c>
      <c r="H35" s="359">
        <f>+H26</f>
        <v>120000000</v>
      </c>
      <c r="I35" s="369">
        <f>+I26</f>
        <v>120000000</v>
      </c>
    </row>
    <row r="36" spans="3:9" x14ac:dyDescent="0.25">
      <c r="C36" s="368" t="s">
        <v>96</v>
      </c>
      <c r="D36" s="359"/>
      <c r="E36" s="359"/>
      <c r="F36" s="359"/>
      <c r="G36" s="359"/>
      <c r="H36" s="359"/>
      <c r="I36" s="369">
        <f>-D44</f>
        <v>900000</v>
      </c>
    </row>
    <row r="37" spans="3:9" x14ac:dyDescent="0.25">
      <c r="C37" s="368" t="s">
        <v>97</v>
      </c>
      <c r="D37" s="359"/>
      <c r="E37" s="359"/>
      <c r="F37" s="359"/>
      <c r="G37" s="359"/>
      <c r="H37" s="359"/>
      <c r="I37" s="369">
        <f>E13</f>
        <v>5000000</v>
      </c>
    </row>
    <row r="38" spans="3:9" x14ac:dyDescent="0.25">
      <c r="C38" s="368" t="s">
        <v>46</v>
      </c>
      <c r="D38" s="359"/>
      <c r="E38" s="359">
        <f t="shared" ref="E38:I39" si="2">+E28</f>
        <v>-108000000</v>
      </c>
      <c r="F38" s="359">
        <f t="shared" si="2"/>
        <v>-108000000</v>
      </c>
      <c r="G38" s="359">
        <f t="shared" si="2"/>
        <v>-108000000</v>
      </c>
      <c r="H38" s="359">
        <f t="shared" si="2"/>
        <v>-108000000</v>
      </c>
      <c r="I38" s="369">
        <f t="shared" si="2"/>
        <v>-108000000</v>
      </c>
    </row>
    <row r="39" spans="3:9" x14ac:dyDescent="0.25">
      <c r="C39" s="368" t="s">
        <v>44</v>
      </c>
      <c r="D39" s="359"/>
      <c r="E39" s="359">
        <f t="shared" si="2"/>
        <v>-400000</v>
      </c>
      <c r="F39" s="359">
        <f t="shared" si="2"/>
        <v>-400000</v>
      </c>
      <c r="G39" s="359">
        <f t="shared" si="2"/>
        <v>-400000</v>
      </c>
      <c r="H39" s="359">
        <f t="shared" si="2"/>
        <v>-400000</v>
      </c>
      <c r="I39" s="369">
        <f t="shared" si="2"/>
        <v>-400000</v>
      </c>
    </row>
    <row r="40" spans="3:9" x14ac:dyDescent="0.25">
      <c r="C40" s="368" t="s">
        <v>94</v>
      </c>
      <c r="D40" s="359">
        <f>+(D15-D14)*E11</f>
        <v>-175000</v>
      </c>
      <c r="E40" s="359">
        <f>+E31</f>
        <v>-3403750</v>
      </c>
      <c r="F40" s="359">
        <f>+F31</f>
        <v>-3403750</v>
      </c>
      <c r="G40" s="359">
        <f>+G31</f>
        <v>-3403750</v>
      </c>
      <c r="H40" s="359">
        <f>+H31</f>
        <v>-3403750</v>
      </c>
      <c r="I40" s="369">
        <f>+I31</f>
        <v>-3185000</v>
      </c>
    </row>
    <row r="41" spans="3:9" x14ac:dyDescent="0.25">
      <c r="C41" s="368" t="s">
        <v>208</v>
      </c>
      <c r="D41" s="359">
        <f>SUM(D42:D44)</f>
        <v>-22400000</v>
      </c>
      <c r="E41" s="359">
        <f t="shared" ref="E41:I41" si="3">SUM(E42:E44)</f>
        <v>0</v>
      </c>
      <c r="F41" s="359">
        <f t="shared" si="3"/>
        <v>0</v>
      </c>
      <c r="G41" s="359">
        <f t="shared" si="3"/>
        <v>0</v>
      </c>
      <c r="H41" s="359">
        <f t="shared" si="3"/>
        <v>0</v>
      </c>
      <c r="I41" s="369">
        <f t="shared" si="3"/>
        <v>0</v>
      </c>
    </row>
    <row r="42" spans="3:9" x14ac:dyDescent="0.25">
      <c r="C42" s="368" t="s">
        <v>209</v>
      </c>
      <c r="D42" s="359">
        <f>-D15</f>
        <v>-6500000</v>
      </c>
      <c r="E42" s="359"/>
      <c r="F42" s="359"/>
      <c r="G42" s="359"/>
      <c r="H42" s="359"/>
      <c r="I42" s="369"/>
    </row>
    <row r="43" spans="3:9" x14ac:dyDescent="0.25">
      <c r="C43" s="368" t="s">
        <v>210</v>
      </c>
      <c r="D43" s="359">
        <f>-D12</f>
        <v>-15000000</v>
      </c>
      <c r="E43" s="359"/>
      <c r="F43" s="359"/>
      <c r="G43" s="359"/>
      <c r="H43" s="359"/>
      <c r="I43" s="369"/>
    </row>
    <row r="44" spans="3:9" x14ac:dyDescent="0.25">
      <c r="C44" s="368" t="s">
        <v>29</v>
      </c>
      <c r="D44" s="359">
        <f>-D17</f>
        <v>-900000</v>
      </c>
      <c r="E44" s="359"/>
      <c r="F44" s="359"/>
      <c r="G44" s="359"/>
      <c r="H44" s="359"/>
      <c r="I44" s="369"/>
    </row>
    <row r="45" spans="3:9" x14ac:dyDescent="0.25">
      <c r="C45" s="381" t="s">
        <v>98</v>
      </c>
      <c r="D45" s="382">
        <f>SUM(D35:D41)</f>
        <v>-22575000</v>
      </c>
      <c r="E45" s="382">
        <f>SUM(E35:E41)</f>
        <v>8196250</v>
      </c>
      <c r="F45" s="382">
        <f t="shared" ref="F45:I45" si="4">SUM(F35:F41)</f>
        <v>8196250</v>
      </c>
      <c r="G45" s="382">
        <f t="shared" si="4"/>
        <v>8196250</v>
      </c>
      <c r="H45" s="382">
        <f t="shared" si="4"/>
        <v>8196250</v>
      </c>
      <c r="I45" s="383">
        <f t="shared" si="4"/>
        <v>14315000</v>
      </c>
    </row>
    <row r="47" spans="3:9" x14ac:dyDescent="0.25">
      <c r="C47" s="387" t="s">
        <v>53</v>
      </c>
      <c r="D47" s="389"/>
    </row>
    <row r="48" spans="3:9" x14ac:dyDescent="0.25">
      <c r="C48" s="390">
        <v>3.5000000000000003E-2</v>
      </c>
      <c r="D48" s="391" t="s">
        <v>54</v>
      </c>
    </row>
    <row r="49" spans="3:7" x14ac:dyDescent="0.25">
      <c r="C49" s="386"/>
      <c r="D49" s="378" t="s">
        <v>55</v>
      </c>
      <c r="E49" s="378" t="s">
        <v>56</v>
      </c>
      <c r="F49" s="378" t="s">
        <v>57</v>
      </c>
      <c r="G49" s="379" t="s">
        <v>58</v>
      </c>
    </row>
    <row r="50" spans="3:7" x14ac:dyDescent="0.25">
      <c r="C50" s="368" t="s">
        <v>59</v>
      </c>
      <c r="D50" s="359"/>
      <c r="E50" s="359"/>
      <c r="F50" s="359">
        <v>-92</v>
      </c>
      <c r="G50" s="369">
        <v>100</v>
      </c>
    </row>
    <row r="51" spans="3:7" x14ac:dyDescent="0.25">
      <c r="C51" s="368" t="s">
        <v>60</v>
      </c>
      <c r="D51" s="359">
        <v>0</v>
      </c>
      <c r="E51" s="359">
        <f t="shared" ref="E51:E80" si="5">+G50*$C$48</f>
        <v>3.5000000000000004</v>
      </c>
      <c r="F51" s="359">
        <f>+D51+E51</f>
        <v>3.5000000000000004</v>
      </c>
      <c r="G51" s="369">
        <f>+G50-D51</f>
        <v>100</v>
      </c>
    </row>
    <row r="52" spans="3:7" x14ac:dyDescent="0.25">
      <c r="C52" s="368" t="s">
        <v>61</v>
      </c>
      <c r="D52" s="359">
        <v>0</v>
      </c>
      <c r="E52" s="359">
        <f t="shared" si="5"/>
        <v>3.5000000000000004</v>
      </c>
      <c r="F52" s="359">
        <f t="shared" ref="F52:F80" si="6">+D52+E52</f>
        <v>3.5000000000000004</v>
      </c>
      <c r="G52" s="369">
        <f t="shared" ref="G52:G80" si="7">+G51-D52</f>
        <v>100</v>
      </c>
    </row>
    <row r="53" spans="3:7" x14ac:dyDescent="0.25">
      <c r="C53" s="368" t="s">
        <v>62</v>
      </c>
      <c r="D53" s="359">
        <v>0</v>
      </c>
      <c r="E53" s="359">
        <f t="shared" si="5"/>
        <v>3.5000000000000004</v>
      </c>
      <c r="F53" s="359">
        <f t="shared" si="6"/>
        <v>3.5000000000000004</v>
      </c>
      <c r="G53" s="369">
        <f t="shared" si="7"/>
        <v>100</v>
      </c>
    </row>
    <row r="54" spans="3:7" x14ac:dyDescent="0.25">
      <c r="C54" s="368" t="s">
        <v>63</v>
      </c>
      <c r="D54" s="359">
        <v>0</v>
      </c>
      <c r="E54" s="359">
        <f t="shared" si="5"/>
        <v>3.5000000000000004</v>
      </c>
      <c r="F54" s="359">
        <f t="shared" si="6"/>
        <v>3.5000000000000004</v>
      </c>
      <c r="G54" s="369">
        <f t="shared" si="7"/>
        <v>100</v>
      </c>
    </row>
    <row r="55" spans="3:7" x14ac:dyDescent="0.25">
      <c r="C55" s="368" t="s">
        <v>64</v>
      </c>
      <c r="D55" s="359">
        <v>0</v>
      </c>
      <c r="E55" s="359">
        <f t="shared" si="5"/>
        <v>3.5000000000000004</v>
      </c>
      <c r="F55" s="359">
        <f t="shared" si="6"/>
        <v>3.5000000000000004</v>
      </c>
      <c r="G55" s="369">
        <f t="shared" si="7"/>
        <v>100</v>
      </c>
    </row>
    <row r="56" spans="3:7" x14ac:dyDescent="0.25">
      <c r="C56" s="368" t="s">
        <v>65</v>
      </c>
      <c r="D56" s="359">
        <v>0</v>
      </c>
      <c r="E56" s="359">
        <f t="shared" si="5"/>
        <v>3.5000000000000004</v>
      </c>
      <c r="F56" s="359">
        <f t="shared" si="6"/>
        <v>3.5000000000000004</v>
      </c>
      <c r="G56" s="369">
        <f t="shared" si="7"/>
        <v>100</v>
      </c>
    </row>
    <row r="57" spans="3:7" x14ac:dyDescent="0.25">
      <c r="C57" s="368" t="s">
        <v>66</v>
      </c>
      <c r="D57" s="359">
        <v>0</v>
      </c>
      <c r="E57" s="359">
        <f t="shared" si="5"/>
        <v>3.5000000000000004</v>
      </c>
      <c r="F57" s="359">
        <f t="shared" si="6"/>
        <v>3.5000000000000004</v>
      </c>
      <c r="G57" s="369">
        <f t="shared" si="7"/>
        <v>100</v>
      </c>
    </row>
    <row r="58" spans="3:7" x14ac:dyDescent="0.25">
      <c r="C58" s="368" t="s">
        <v>67</v>
      </c>
      <c r="D58" s="359">
        <v>0</v>
      </c>
      <c r="E58" s="359">
        <f t="shared" si="5"/>
        <v>3.5000000000000004</v>
      </c>
      <c r="F58" s="359">
        <f t="shared" si="6"/>
        <v>3.5000000000000004</v>
      </c>
      <c r="G58" s="369">
        <f t="shared" si="7"/>
        <v>100</v>
      </c>
    </row>
    <row r="59" spans="3:7" x14ac:dyDescent="0.25">
      <c r="C59" s="368" t="s">
        <v>68</v>
      </c>
      <c r="D59" s="359">
        <v>0</v>
      </c>
      <c r="E59" s="359">
        <f t="shared" si="5"/>
        <v>3.5000000000000004</v>
      </c>
      <c r="F59" s="359">
        <f t="shared" si="6"/>
        <v>3.5000000000000004</v>
      </c>
      <c r="G59" s="369">
        <f t="shared" si="7"/>
        <v>100</v>
      </c>
    </row>
    <row r="60" spans="3:7" x14ac:dyDescent="0.25">
      <c r="C60" s="368" t="s">
        <v>69</v>
      </c>
      <c r="D60" s="359">
        <v>0</v>
      </c>
      <c r="E60" s="359">
        <f t="shared" si="5"/>
        <v>3.5000000000000004</v>
      </c>
      <c r="F60" s="359">
        <f t="shared" si="6"/>
        <v>3.5000000000000004</v>
      </c>
      <c r="G60" s="369">
        <f t="shared" si="7"/>
        <v>100</v>
      </c>
    </row>
    <row r="61" spans="3:7" x14ac:dyDescent="0.25">
      <c r="C61" s="368" t="s">
        <v>70</v>
      </c>
      <c r="D61" s="359">
        <v>0</v>
      </c>
      <c r="E61" s="359">
        <f t="shared" si="5"/>
        <v>3.5000000000000004</v>
      </c>
      <c r="F61" s="359">
        <f t="shared" si="6"/>
        <v>3.5000000000000004</v>
      </c>
      <c r="G61" s="369">
        <f t="shared" si="7"/>
        <v>100</v>
      </c>
    </row>
    <row r="62" spans="3:7" x14ac:dyDescent="0.25">
      <c r="C62" s="368" t="s">
        <v>71</v>
      </c>
      <c r="D62" s="359">
        <v>0</v>
      </c>
      <c r="E62" s="359">
        <f t="shared" si="5"/>
        <v>3.5000000000000004</v>
      </c>
      <c r="F62" s="359">
        <f t="shared" si="6"/>
        <v>3.5000000000000004</v>
      </c>
      <c r="G62" s="369">
        <f t="shared" si="7"/>
        <v>100</v>
      </c>
    </row>
    <row r="63" spans="3:7" x14ac:dyDescent="0.25">
      <c r="C63" s="368" t="s">
        <v>72</v>
      </c>
      <c r="D63" s="359">
        <v>0</v>
      </c>
      <c r="E63" s="359">
        <f t="shared" si="5"/>
        <v>3.5000000000000004</v>
      </c>
      <c r="F63" s="359">
        <f t="shared" si="6"/>
        <v>3.5000000000000004</v>
      </c>
      <c r="G63" s="369">
        <f t="shared" si="7"/>
        <v>100</v>
      </c>
    </row>
    <row r="64" spans="3:7" x14ac:dyDescent="0.25">
      <c r="C64" s="368" t="s">
        <v>73</v>
      </c>
      <c r="D64" s="359">
        <v>0</v>
      </c>
      <c r="E64" s="359">
        <f t="shared" si="5"/>
        <v>3.5000000000000004</v>
      </c>
      <c r="F64" s="359">
        <f t="shared" si="6"/>
        <v>3.5000000000000004</v>
      </c>
      <c r="G64" s="369">
        <f t="shared" si="7"/>
        <v>100</v>
      </c>
    </row>
    <row r="65" spans="3:7" x14ac:dyDescent="0.25">
      <c r="C65" s="368" t="s">
        <v>74</v>
      </c>
      <c r="D65" s="359">
        <v>0</v>
      </c>
      <c r="E65" s="359">
        <f t="shared" si="5"/>
        <v>3.5000000000000004</v>
      </c>
      <c r="F65" s="359">
        <f t="shared" si="6"/>
        <v>3.5000000000000004</v>
      </c>
      <c r="G65" s="369">
        <f t="shared" si="7"/>
        <v>100</v>
      </c>
    </row>
    <row r="66" spans="3:7" x14ac:dyDescent="0.25">
      <c r="C66" s="368" t="s">
        <v>75</v>
      </c>
      <c r="D66" s="359">
        <v>0</v>
      </c>
      <c r="E66" s="359">
        <f t="shared" si="5"/>
        <v>3.5000000000000004</v>
      </c>
      <c r="F66" s="359">
        <f t="shared" si="6"/>
        <v>3.5000000000000004</v>
      </c>
      <c r="G66" s="369">
        <f t="shared" si="7"/>
        <v>100</v>
      </c>
    </row>
    <row r="67" spans="3:7" x14ac:dyDescent="0.25">
      <c r="C67" s="368" t="s">
        <v>76</v>
      </c>
      <c r="D67" s="359">
        <v>0</v>
      </c>
      <c r="E67" s="359">
        <f t="shared" si="5"/>
        <v>3.5000000000000004</v>
      </c>
      <c r="F67" s="359">
        <f t="shared" si="6"/>
        <v>3.5000000000000004</v>
      </c>
      <c r="G67" s="369">
        <f t="shared" si="7"/>
        <v>100</v>
      </c>
    </row>
    <row r="68" spans="3:7" x14ac:dyDescent="0.25">
      <c r="C68" s="368" t="s">
        <v>77</v>
      </c>
      <c r="D68" s="359">
        <v>0</v>
      </c>
      <c r="E68" s="359">
        <f t="shared" si="5"/>
        <v>3.5000000000000004</v>
      </c>
      <c r="F68" s="359">
        <f t="shared" si="6"/>
        <v>3.5000000000000004</v>
      </c>
      <c r="G68" s="369">
        <f t="shared" si="7"/>
        <v>100</v>
      </c>
    </row>
    <row r="69" spans="3:7" x14ac:dyDescent="0.25">
      <c r="C69" s="368" t="s">
        <v>78</v>
      </c>
      <c r="D69" s="359">
        <v>0</v>
      </c>
      <c r="E69" s="359">
        <f t="shared" si="5"/>
        <v>3.5000000000000004</v>
      </c>
      <c r="F69" s="359">
        <f t="shared" si="6"/>
        <v>3.5000000000000004</v>
      </c>
      <c r="G69" s="369">
        <f t="shared" si="7"/>
        <v>100</v>
      </c>
    </row>
    <row r="70" spans="3:7" x14ac:dyDescent="0.25">
      <c r="C70" s="368" t="s">
        <v>79</v>
      </c>
      <c r="D70" s="359">
        <v>0</v>
      </c>
      <c r="E70" s="359">
        <f t="shared" si="5"/>
        <v>3.5000000000000004</v>
      </c>
      <c r="F70" s="359">
        <f t="shared" si="6"/>
        <v>3.5000000000000004</v>
      </c>
      <c r="G70" s="369">
        <f t="shared" si="7"/>
        <v>100</v>
      </c>
    </row>
    <row r="71" spans="3:7" x14ac:dyDescent="0.25">
      <c r="C71" s="368" t="s">
        <v>80</v>
      </c>
      <c r="D71" s="359">
        <v>0</v>
      </c>
      <c r="E71" s="359">
        <f t="shared" si="5"/>
        <v>3.5000000000000004</v>
      </c>
      <c r="F71" s="359">
        <f t="shared" si="6"/>
        <v>3.5000000000000004</v>
      </c>
      <c r="G71" s="369">
        <f t="shared" si="7"/>
        <v>100</v>
      </c>
    </row>
    <row r="72" spans="3:7" x14ac:dyDescent="0.25">
      <c r="C72" s="368" t="s">
        <v>81</v>
      </c>
      <c r="D72" s="359">
        <v>0</v>
      </c>
      <c r="E72" s="359">
        <f t="shared" si="5"/>
        <v>3.5000000000000004</v>
      </c>
      <c r="F72" s="359">
        <f t="shared" si="6"/>
        <v>3.5000000000000004</v>
      </c>
      <c r="G72" s="369">
        <f t="shared" si="7"/>
        <v>100</v>
      </c>
    </row>
    <row r="73" spans="3:7" x14ac:dyDescent="0.25">
      <c r="C73" s="368" t="s">
        <v>82</v>
      </c>
      <c r="D73" s="359">
        <v>0</v>
      </c>
      <c r="E73" s="359">
        <f t="shared" si="5"/>
        <v>3.5000000000000004</v>
      </c>
      <c r="F73" s="359">
        <f t="shared" si="6"/>
        <v>3.5000000000000004</v>
      </c>
      <c r="G73" s="369">
        <f t="shared" si="7"/>
        <v>100</v>
      </c>
    </row>
    <row r="74" spans="3:7" x14ac:dyDescent="0.25">
      <c r="C74" s="368" t="s">
        <v>83</v>
      </c>
      <c r="D74" s="359">
        <v>0</v>
      </c>
      <c r="E74" s="359">
        <f t="shared" si="5"/>
        <v>3.5000000000000004</v>
      </c>
      <c r="F74" s="359">
        <f t="shared" si="6"/>
        <v>3.5000000000000004</v>
      </c>
      <c r="G74" s="369">
        <f t="shared" si="7"/>
        <v>100</v>
      </c>
    </row>
    <row r="75" spans="3:7" x14ac:dyDescent="0.25">
      <c r="C75" s="368" t="s">
        <v>84</v>
      </c>
      <c r="D75" s="359">
        <v>0</v>
      </c>
      <c r="E75" s="359">
        <f t="shared" si="5"/>
        <v>3.5000000000000004</v>
      </c>
      <c r="F75" s="359">
        <f t="shared" si="6"/>
        <v>3.5000000000000004</v>
      </c>
      <c r="G75" s="369">
        <f t="shared" si="7"/>
        <v>100</v>
      </c>
    </row>
    <row r="76" spans="3:7" x14ac:dyDescent="0.25">
      <c r="C76" s="368" t="s">
        <v>85</v>
      </c>
      <c r="D76" s="359">
        <v>0</v>
      </c>
      <c r="E76" s="359">
        <f t="shared" si="5"/>
        <v>3.5000000000000004</v>
      </c>
      <c r="F76" s="359">
        <f t="shared" si="6"/>
        <v>3.5000000000000004</v>
      </c>
      <c r="G76" s="369">
        <f t="shared" si="7"/>
        <v>100</v>
      </c>
    </row>
    <row r="77" spans="3:7" x14ac:dyDescent="0.25">
      <c r="C77" s="368" t="s">
        <v>86</v>
      </c>
      <c r="D77" s="359">
        <v>0</v>
      </c>
      <c r="E77" s="359">
        <f t="shared" si="5"/>
        <v>3.5000000000000004</v>
      </c>
      <c r="F77" s="359">
        <f t="shared" si="6"/>
        <v>3.5000000000000004</v>
      </c>
      <c r="G77" s="369">
        <f t="shared" si="7"/>
        <v>100</v>
      </c>
    </row>
    <row r="78" spans="3:7" x14ac:dyDescent="0.25">
      <c r="C78" s="368" t="s">
        <v>87</v>
      </c>
      <c r="D78" s="359">
        <v>0</v>
      </c>
      <c r="E78" s="359">
        <f t="shared" si="5"/>
        <v>3.5000000000000004</v>
      </c>
      <c r="F78" s="359">
        <f t="shared" si="6"/>
        <v>3.5000000000000004</v>
      </c>
      <c r="G78" s="369">
        <f t="shared" si="7"/>
        <v>100</v>
      </c>
    </row>
    <row r="79" spans="3:7" x14ac:dyDescent="0.25">
      <c r="C79" s="368" t="s">
        <v>88</v>
      </c>
      <c r="D79" s="359">
        <v>0</v>
      </c>
      <c r="E79" s="359">
        <f t="shared" si="5"/>
        <v>3.5000000000000004</v>
      </c>
      <c r="F79" s="359">
        <f t="shared" si="6"/>
        <v>3.5000000000000004</v>
      </c>
      <c r="G79" s="369">
        <f t="shared" si="7"/>
        <v>100</v>
      </c>
    </row>
    <row r="80" spans="3:7" x14ac:dyDescent="0.25">
      <c r="C80" s="368" t="s">
        <v>89</v>
      </c>
      <c r="D80" s="359">
        <v>100</v>
      </c>
      <c r="E80" s="359">
        <f t="shared" si="5"/>
        <v>3.5000000000000004</v>
      </c>
      <c r="F80" s="359">
        <f t="shared" si="6"/>
        <v>103.5</v>
      </c>
      <c r="G80" s="369">
        <f t="shared" si="7"/>
        <v>0</v>
      </c>
    </row>
    <row r="81" spans="3:8" x14ac:dyDescent="0.25">
      <c r="C81" s="392"/>
      <c r="D81" s="388"/>
      <c r="E81" s="388" t="s">
        <v>90</v>
      </c>
      <c r="F81" s="393">
        <f>IRR(F50:F80)</f>
        <v>3.9604200570389603E-2</v>
      </c>
      <c r="G81" s="389"/>
    </row>
    <row r="82" spans="3:8" x14ac:dyDescent="0.25">
      <c r="C82" s="395"/>
      <c r="D82" s="396"/>
      <c r="E82" s="382" t="s">
        <v>91</v>
      </c>
      <c r="F82" s="394">
        <f>+((1+F81)^2)-1</f>
        <v>8.0776893843598874E-2</v>
      </c>
      <c r="G82" s="397"/>
    </row>
    <row r="84" spans="3:8" x14ac:dyDescent="0.25">
      <c r="C84" s="384" t="s">
        <v>92</v>
      </c>
      <c r="D84" s="398"/>
      <c r="E84" s="399">
        <f>+D19+D20*D21</f>
        <v>0.15400000000000003</v>
      </c>
    </row>
    <row r="85" spans="3:8" x14ac:dyDescent="0.25">
      <c r="C85" s="366"/>
      <c r="E85" s="367"/>
    </row>
    <row r="86" spans="3:8" x14ac:dyDescent="0.25">
      <c r="C86" s="384" t="s">
        <v>93</v>
      </c>
      <c r="D86" s="398"/>
      <c r="E86" s="399">
        <v>0.05</v>
      </c>
    </row>
    <row r="87" spans="3:8" x14ac:dyDescent="0.25">
      <c r="C87" s="366"/>
      <c r="E87" s="367"/>
    </row>
    <row r="88" spans="3:8" x14ac:dyDescent="0.25">
      <c r="G88" s="367"/>
    </row>
    <row r="89" spans="3:8" x14ac:dyDescent="0.25">
      <c r="C89" s="384" t="s">
        <v>47</v>
      </c>
      <c r="D89" s="378" t="s">
        <v>211</v>
      </c>
      <c r="E89" s="378" t="s">
        <v>212</v>
      </c>
      <c r="F89" s="378" t="s">
        <v>213</v>
      </c>
      <c r="G89" s="378" t="s">
        <v>214</v>
      </c>
      <c r="H89" s="379" t="s">
        <v>215</v>
      </c>
    </row>
    <row r="90" spans="3:8" x14ac:dyDescent="0.25">
      <c r="C90" s="368" t="s">
        <v>49</v>
      </c>
      <c r="D90" s="359">
        <v>15000</v>
      </c>
      <c r="E90" s="359">
        <v>920</v>
      </c>
      <c r="F90" s="359">
        <f>+D90*E90</f>
        <v>13800000</v>
      </c>
      <c r="G90" s="363">
        <f>+F90/$F$93</f>
        <v>0.3656597774244833</v>
      </c>
      <c r="H90" s="370">
        <f>+F82</f>
        <v>8.0776893843598874E-2</v>
      </c>
    </row>
    <row r="91" spans="3:8" x14ac:dyDescent="0.25">
      <c r="C91" s="368" t="s">
        <v>50</v>
      </c>
      <c r="D91" s="359">
        <v>300000</v>
      </c>
      <c r="E91" s="359">
        <v>75</v>
      </c>
      <c r="F91" s="359">
        <f t="shared" ref="F91:F92" si="8">+D91*E91</f>
        <v>22500000</v>
      </c>
      <c r="G91" s="363">
        <f>+F91/$F$93</f>
        <v>0.59618441971383151</v>
      </c>
      <c r="H91" s="370">
        <f>+E84</f>
        <v>0.15400000000000003</v>
      </c>
    </row>
    <row r="92" spans="3:8" x14ac:dyDescent="0.25">
      <c r="C92" s="368" t="s">
        <v>51</v>
      </c>
      <c r="D92" s="359">
        <v>20000</v>
      </c>
      <c r="E92" s="359">
        <v>72</v>
      </c>
      <c r="F92" s="359">
        <f t="shared" si="8"/>
        <v>1440000</v>
      </c>
      <c r="G92" s="363">
        <f>+F92/$F$93</f>
        <v>3.8155802861685212E-2</v>
      </c>
      <c r="H92" s="370">
        <f>+E86</f>
        <v>0.05</v>
      </c>
    </row>
    <row r="93" spans="3:8" x14ac:dyDescent="0.25">
      <c r="C93" s="381" t="s">
        <v>52</v>
      </c>
      <c r="D93" s="396"/>
      <c r="E93" s="396"/>
      <c r="F93" s="396">
        <f>SUM(F90:F92)</f>
        <v>37740000</v>
      </c>
      <c r="G93" s="400">
        <f>SUM(G90:G92)</f>
        <v>1</v>
      </c>
      <c r="H93" s="401"/>
    </row>
    <row r="95" spans="3:8" x14ac:dyDescent="0.25">
      <c r="G95" s="392" t="s">
        <v>22</v>
      </c>
      <c r="H95" s="403">
        <f>+G90*H90*(1-E11)+G91*H91+G92*H92</f>
        <v>0.1129191504445438</v>
      </c>
    </row>
    <row r="96" spans="3:8" x14ac:dyDescent="0.25">
      <c r="G96" s="404" t="s">
        <v>48</v>
      </c>
      <c r="H96" s="405">
        <f>+D18</f>
        <v>0.02</v>
      </c>
    </row>
    <row r="97" spans="2:8" x14ac:dyDescent="0.25">
      <c r="G97" s="381" t="s">
        <v>217</v>
      </c>
      <c r="H97" s="402">
        <f>SUM(H95:H96)</f>
        <v>0.1329191504445438</v>
      </c>
    </row>
    <row r="98" spans="2:8" x14ac:dyDescent="0.25">
      <c r="C98" s="366"/>
      <c r="E98" s="367"/>
    </row>
    <row r="99" spans="2:8" x14ac:dyDescent="0.25">
      <c r="C99" s="386" t="s">
        <v>17</v>
      </c>
      <c r="D99" s="380">
        <f>+D45+NPV(H97,E45:I45)</f>
        <v>9327402.8405753747</v>
      </c>
      <c r="E99" s="367"/>
    </row>
    <row r="101" spans="2:8" x14ac:dyDescent="0.25">
      <c r="B101" s="358" t="s">
        <v>30</v>
      </c>
      <c r="C101" s="406">
        <f>+D45</f>
        <v>-22575000</v>
      </c>
    </row>
    <row r="103" spans="2:8" x14ac:dyDescent="0.25">
      <c r="B103" s="358" t="s">
        <v>31</v>
      </c>
      <c r="C103" s="407">
        <f>+H97</f>
        <v>0.1329191504445438</v>
      </c>
    </row>
    <row r="104" spans="2:8" x14ac:dyDescent="0.25">
      <c r="C104" s="367"/>
    </row>
    <row r="105" spans="2:8" x14ac:dyDescent="0.25">
      <c r="B105" s="358" t="s">
        <v>32</v>
      </c>
      <c r="C105" s="406">
        <f>+I37-I27*E11</f>
        <v>5218750</v>
      </c>
    </row>
    <row r="107" spans="2:8" x14ac:dyDescent="0.25">
      <c r="B107" s="358" t="s">
        <v>203</v>
      </c>
      <c r="C107" s="385"/>
      <c r="D107" s="408" t="s">
        <v>0</v>
      </c>
      <c r="E107" s="408" t="s">
        <v>1</v>
      </c>
      <c r="F107" s="408" t="s">
        <v>2</v>
      </c>
      <c r="G107" s="408" t="s">
        <v>3</v>
      </c>
      <c r="H107" s="408" t="s">
        <v>38</v>
      </c>
    </row>
    <row r="108" spans="2:8" x14ac:dyDescent="0.25">
      <c r="C108" s="409" t="s">
        <v>98</v>
      </c>
      <c r="D108" s="396">
        <f>+E45</f>
        <v>8196250</v>
      </c>
      <c r="E108" s="396">
        <f t="shared" ref="E108:H108" si="9">+F45</f>
        <v>8196250</v>
      </c>
      <c r="F108" s="396">
        <f t="shared" si="9"/>
        <v>8196250</v>
      </c>
      <c r="G108" s="396">
        <f t="shared" si="9"/>
        <v>8196250</v>
      </c>
      <c r="H108" s="397">
        <f t="shared" si="9"/>
        <v>14315000</v>
      </c>
    </row>
    <row r="109" spans="2:8" x14ac:dyDescent="0.25">
      <c r="D109" s="359"/>
      <c r="E109" s="359"/>
      <c r="F109" s="359"/>
      <c r="G109" s="359"/>
      <c r="H109" s="359"/>
    </row>
    <row r="110" spans="2:8" x14ac:dyDescent="0.25">
      <c r="B110" s="358" t="s">
        <v>218</v>
      </c>
      <c r="C110" s="410" t="s">
        <v>17</v>
      </c>
      <c r="D110" s="380">
        <f>+D99</f>
        <v>9327402.8405753747</v>
      </c>
    </row>
  </sheetData>
  <sheetProtection algorithmName="SHA-512" hashValue="2VQWP6idZo/lxwqd3+546txBu6/1Rb7qormPzz+dQUa24uILJvWtWjJ5F8PSr0OpnMpRi88LSrvmKe76S/RM1A==" saltValue="fdXg7YZHD8kRwumf/dZh6Q==" spinCount="100000" sheet="1" objects="1" scenarios="1"/>
  <mergeCells count="2">
    <mergeCell ref="C1:I1"/>
    <mergeCell ref="C3:E4"/>
  </mergeCells>
  <pageMargins left="0.7" right="0.7" top="0.75" bottom="0.75" header="0.3" footer="0.3"/>
  <pageSetup orientation="portrait" horizontalDpi="360" verticalDpi="360" r:id="rId1"/>
  <ignoredErrors>
    <ignoredError sqref="D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2</vt:i4>
      </vt:variant>
    </vt:vector>
  </HeadingPairs>
  <TitlesOfParts>
    <vt:vector size="23" baseType="lpstr">
      <vt:lpstr>Inicio</vt:lpstr>
      <vt:lpstr>Ejercicio 1</vt:lpstr>
      <vt:lpstr>Ejercicio 2</vt:lpstr>
      <vt:lpstr>Ejercicio 3</vt:lpstr>
      <vt:lpstr>Ejercicio 4</vt:lpstr>
      <vt:lpstr>Ejercicio 5</vt:lpstr>
      <vt:lpstr>Ejercicio 6</vt:lpstr>
      <vt:lpstr>Ejercicio 7</vt:lpstr>
      <vt:lpstr>Ejercicio 8</vt:lpstr>
      <vt:lpstr>Ejercicio 9</vt:lpstr>
      <vt:lpstr>Ejercicio 10</vt:lpstr>
      <vt:lpstr>Ejercicio 11</vt:lpstr>
      <vt:lpstr>Ejercicio 12</vt:lpstr>
      <vt:lpstr>Ejercicio 13</vt:lpstr>
      <vt:lpstr>Ejercicio 14</vt:lpstr>
      <vt:lpstr>Ejercicio 15</vt:lpstr>
      <vt:lpstr>Ejercicio 16</vt:lpstr>
      <vt:lpstr>Ejercicio 17</vt:lpstr>
      <vt:lpstr>Ejercicio 18</vt:lpstr>
      <vt:lpstr>Ejercicio 19</vt:lpstr>
      <vt:lpstr>Ejercicio 20</vt:lpstr>
      <vt:lpstr>'Ejercicio 18'!_ftn1</vt:lpstr>
      <vt:lpstr>'Ejercicio 18'!_ftnref1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HP</cp:lastModifiedBy>
  <dcterms:created xsi:type="dcterms:W3CDTF">2020-04-30T20:11:54Z</dcterms:created>
  <dcterms:modified xsi:type="dcterms:W3CDTF">2021-01-13T15:24:16Z</dcterms:modified>
</cp:coreProperties>
</file>