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UPC\FER\Nueva carpeta\"/>
    </mc:Choice>
  </mc:AlternateContent>
  <xr:revisionPtr revIDLastSave="0" documentId="13_ncr:1_{6B3A5092-6BA9-48BA-A806-057B4A515BA4}" xr6:coauthVersionLast="37" xr6:coauthVersionMax="45" xr10:uidLastSave="{00000000-0000-0000-0000-000000000000}"/>
  <workbookProtection workbookAlgorithmName="SHA-512" workbookHashValue="Z4coULnEdhcFDsMxAp7ZxOkWggyzoKx/avpTMfJsaVQDv+076vf44WkVStO5xbKJuqxAR2Mf/qO4TfaZ7tPWOg==" workbookSaltValue="ztUPPiAK+YtxVFQEbpavgg==" workbookSpinCount="100000" lockStructure="1"/>
  <bookViews>
    <workbookView xWindow="-120" yWindow="-120" windowWidth="20736" windowHeight="11160" xr2:uid="{00000000-000D-0000-FFFF-FFFF00000000}"/>
  </bookViews>
  <sheets>
    <sheet name="Inicio" sheetId="13" r:id="rId1"/>
    <sheet name="Ejercicio 1" sheetId="11" r:id="rId2"/>
    <sheet name="Ejercicio 2" sheetId="7" r:id="rId3"/>
    <sheet name="Ejercicio 3" sheetId="12" r:id="rId4"/>
    <sheet name="Ejercicio 4" sheetId="4" r:id="rId5"/>
    <sheet name="Ejercicio 5" sheetId="3" r:id="rId6"/>
    <sheet name="Ejercicio 6" sheetId="8" r:id="rId7"/>
  </sheets>
  <definedNames>
    <definedName name="_xlnm.Print_Area" localSheetId="2">'Ejercicio 2'!$B$6:$E$94</definedName>
    <definedName name="_xlnm.Print_Area" localSheetId="5">'Ejercicio 5'!$B$27:$G$133</definedName>
    <definedName name="OLE_LINK1" localSheetId="2">'Ejercicio 2'!$G$5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6" i="3" l="1"/>
  <c r="C165" i="3"/>
  <c r="C162" i="3"/>
  <c r="C160" i="3"/>
  <c r="C164" i="3" l="1"/>
  <c r="D171" i="3"/>
  <c r="E171" i="3" s="1"/>
  <c r="F171" i="3" s="1"/>
  <c r="D32" i="8" l="1"/>
  <c r="D30" i="8"/>
  <c r="D31" i="8" s="1"/>
  <c r="E67" i="8"/>
  <c r="D67" i="8"/>
  <c r="D68" i="8" s="1"/>
  <c r="F59" i="8"/>
  <c r="E59" i="8"/>
  <c r="F57" i="8"/>
  <c r="G57" i="8" s="1"/>
  <c r="D143" i="3"/>
  <c r="D142" i="3"/>
  <c r="D103" i="3"/>
  <c r="E103" i="3" s="1"/>
  <c r="D101" i="3"/>
  <c r="D100" i="3"/>
  <c r="D65" i="3"/>
  <c r="D59" i="3"/>
  <c r="D58" i="3"/>
  <c r="D63" i="3"/>
  <c r="D62" i="3"/>
  <c r="C14" i="3"/>
  <c r="D104" i="3"/>
  <c r="E104" i="3" s="1"/>
  <c r="H94" i="4"/>
  <c r="D98" i="4"/>
  <c r="D96" i="4"/>
  <c r="D95" i="4"/>
  <c r="D93" i="4"/>
  <c r="C110" i="4" s="1"/>
  <c r="C14" i="4"/>
  <c r="D50" i="4"/>
  <c r="D49" i="4"/>
  <c r="C60" i="4" s="1"/>
  <c r="C29" i="7"/>
  <c r="C28" i="7"/>
  <c r="C27" i="7"/>
  <c r="C38" i="12" l="1"/>
  <c r="C40" i="12" s="1"/>
  <c r="C165" i="12"/>
  <c r="C160" i="12"/>
  <c r="C159" i="12"/>
  <c r="C158" i="12"/>
  <c r="E150" i="12"/>
  <c r="D150" i="12"/>
  <c r="H149" i="12"/>
  <c r="G149" i="12"/>
  <c r="F149" i="12"/>
  <c r="E149" i="12"/>
  <c r="D149" i="12"/>
  <c r="C147" i="12"/>
  <c r="C151" i="12" s="1"/>
  <c r="E145" i="12"/>
  <c r="H133" i="12"/>
  <c r="G133" i="12"/>
  <c r="F133" i="12"/>
  <c r="E133" i="12"/>
  <c r="D133" i="12"/>
  <c r="D139" i="12" s="1"/>
  <c r="H132" i="12"/>
  <c r="G132" i="12"/>
  <c r="G139" i="12" s="1"/>
  <c r="F132" i="12"/>
  <c r="F139" i="12" s="1"/>
  <c r="E132" i="12"/>
  <c r="D132" i="12"/>
  <c r="C122" i="12"/>
  <c r="C121" i="12"/>
  <c r="C120" i="12"/>
  <c r="E112" i="12"/>
  <c r="D112" i="12"/>
  <c r="H111" i="12"/>
  <c r="G111" i="12"/>
  <c r="F111" i="12"/>
  <c r="E111" i="12"/>
  <c r="D111" i="12"/>
  <c r="H110" i="12"/>
  <c r="G110" i="12"/>
  <c r="F110" i="12"/>
  <c r="E110" i="12"/>
  <c r="D110" i="12"/>
  <c r="C108" i="12"/>
  <c r="F107" i="12"/>
  <c r="F117" i="12" s="1"/>
  <c r="E107" i="12"/>
  <c r="D88" i="12"/>
  <c r="G146" i="12" s="1"/>
  <c r="D87" i="12"/>
  <c r="E148" i="12" s="1"/>
  <c r="E156" i="12" s="1"/>
  <c r="D85" i="12"/>
  <c r="H145" i="12" s="1"/>
  <c r="C71" i="12"/>
  <c r="C73" i="12" s="1"/>
  <c r="F70" i="12"/>
  <c r="F69" i="12"/>
  <c r="E69" i="12"/>
  <c r="D69" i="12"/>
  <c r="H63" i="12"/>
  <c r="H69" i="12" s="1"/>
  <c r="G63" i="12"/>
  <c r="G69" i="12" s="1"/>
  <c r="H62" i="12"/>
  <c r="G62" i="12"/>
  <c r="H61" i="12"/>
  <c r="G61" i="12"/>
  <c r="F61" i="12"/>
  <c r="E61" i="12"/>
  <c r="D61" i="12"/>
  <c r="F60" i="12"/>
  <c r="E60" i="12"/>
  <c r="D60" i="12"/>
  <c r="C56" i="12"/>
  <c r="C74" i="12" s="1"/>
  <c r="H55" i="12"/>
  <c r="G55" i="12"/>
  <c r="F55" i="12"/>
  <c r="E55" i="12"/>
  <c r="D55" i="12"/>
  <c r="H48" i="12"/>
  <c r="G48" i="12"/>
  <c r="F48" i="12"/>
  <c r="E48" i="12"/>
  <c r="D48" i="12"/>
  <c r="F37" i="12"/>
  <c r="F36" i="12"/>
  <c r="E36" i="12"/>
  <c r="D36" i="12"/>
  <c r="H30" i="12"/>
  <c r="H36" i="12" s="1"/>
  <c r="G30" i="12"/>
  <c r="G36" i="12" s="1"/>
  <c r="H29" i="12"/>
  <c r="G29" i="12"/>
  <c r="F28" i="12"/>
  <c r="E28" i="12"/>
  <c r="D28" i="12"/>
  <c r="D9" i="12"/>
  <c r="F59" i="12" s="1"/>
  <c r="F27" i="12" l="1"/>
  <c r="G47" i="12"/>
  <c r="G59" i="12"/>
  <c r="F131" i="12"/>
  <c r="F134" i="12" s="1"/>
  <c r="F140" i="12" s="1"/>
  <c r="D146" i="12"/>
  <c r="D107" i="12"/>
  <c r="H146" i="12"/>
  <c r="H155" i="12" s="1"/>
  <c r="E139" i="12"/>
  <c r="H139" i="12"/>
  <c r="C152" i="12"/>
  <c r="C157" i="12"/>
  <c r="C161" i="12" s="1"/>
  <c r="C164" i="12" s="1"/>
  <c r="C167" i="12" s="1"/>
  <c r="F64" i="12"/>
  <c r="F65" i="12"/>
  <c r="F68" i="12" s="1"/>
  <c r="F71" i="12" s="1"/>
  <c r="F73" i="12" s="1"/>
  <c r="F31" i="12"/>
  <c r="F32" i="12" s="1"/>
  <c r="F35" i="12" s="1"/>
  <c r="F38" i="12" s="1"/>
  <c r="F40" i="12" s="1"/>
  <c r="C76" i="12"/>
  <c r="E151" i="12"/>
  <c r="E157" i="12" s="1"/>
  <c r="G27" i="12"/>
  <c r="D47" i="12"/>
  <c r="H47" i="12"/>
  <c r="D59" i="12"/>
  <c r="H59" i="12"/>
  <c r="G64" i="12"/>
  <c r="G65" i="12" s="1"/>
  <c r="G68" i="12" s="1"/>
  <c r="G71" i="12" s="1"/>
  <c r="G73" i="12" s="1"/>
  <c r="G107" i="12"/>
  <c r="E109" i="12"/>
  <c r="E118" i="12" s="1"/>
  <c r="C113" i="12"/>
  <c r="C119" i="12" s="1"/>
  <c r="C123" i="12" s="1"/>
  <c r="C125" i="12" s="1"/>
  <c r="D117" i="12"/>
  <c r="G131" i="12"/>
  <c r="F145" i="12"/>
  <c r="E146" i="12"/>
  <c r="E155" i="12" s="1"/>
  <c r="G148" i="12"/>
  <c r="G156" i="12" s="1"/>
  <c r="D109" i="12"/>
  <c r="D113" i="12" s="1"/>
  <c r="D119" i="12" s="1"/>
  <c r="F135" i="12"/>
  <c r="F148" i="12"/>
  <c r="F156" i="12" s="1"/>
  <c r="D27" i="12"/>
  <c r="H27" i="12"/>
  <c r="E47" i="12"/>
  <c r="G50" i="12"/>
  <c r="G51" i="12" s="1"/>
  <c r="G54" i="12" s="1"/>
  <c r="G56" i="12" s="1"/>
  <c r="G74" i="12" s="1"/>
  <c r="E59" i="12"/>
  <c r="H107" i="12"/>
  <c r="F109" i="12"/>
  <c r="F118" i="12" s="1"/>
  <c r="E117" i="12"/>
  <c r="D131" i="12"/>
  <c r="H131" i="12"/>
  <c r="G145" i="12"/>
  <c r="F146" i="12"/>
  <c r="D148" i="12"/>
  <c r="D156" i="12" s="1"/>
  <c r="H148" i="12"/>
  <c r="H156" i="12" s="1"/>
  <c r="H109" i="12"/>
  <c r="H118" i="12" s="1"/>
  <c r="E27" i="12"/>
  <c r="F47" i="12"/>
  <c r="G109" i="12"/>
  <c r="G118" i="12" s="1"/>
  <c r="E131" i="12"/>
  <c r="D145" i="12"/>
  <c r="C156" i="3"/>
  <c r="H139" i="3"/>
  <c r="G139" i="3"/>
  <c r="F139" i="3"/>
  <c r="E139" i="3"/>
  <c r="H138" i="3"/>
  <c r="G138" i="3"/>
  <c r="F138" i="3"/>
  <c r="E138" i="3"/>
  <c r="D138" i="3"/>
  <c r="D145" i="3"/>
  <c r="D152" i="3" s="1"/>
  <c r="D139" i="3"/>
  <c r="H155" i="3"/>
  <c r="H145" i="3"/>
  <c r="H152" i="3" s="1"/>
  <c r="G145" i="3"/>
  <c r="G152" i="3" s="1"/>
  <c r="F145" i="3"/>
  <c r="F152" i="3" s="1"/>
  <c r="E145" i="3"/>
  <c r="E58" i="3"/>
  <c r="E145" i="4"/>
  <c r="F145" i="4"/>
  <c r="G145" i="4"/>
  <c r="H145" i="4"/>
  <c r="D145" i="4"/>
  <c r="C157" i="4"/>
  <c r="H144" i="4"/>
  <c r="E147" i="4"/>
  <c r="E153" i="4" s="1"/>
  <c r="F147" i="4"/>
  <c r="F153" i="4" s="1"/>
  <c r="G147" i="4"/>
  <c r="G153" i="4" s="1"/>
  <c r="H147" i="4"/>
  <c r="H153" i="4" s="1"/>
  <c r="D147" i="4"/>
  <c r="D153" i="4" s="1"/>
  <c r="E146" i="4"/>
  <c r="F146" i="4"/>
  <c r="G146" i="4"/>
  <c r="H146" i="4"/>
  <c r="D146" i="4"/>
  <c r="E143" i="4"/>
  <c r="F143" i="4"/>
  <c r="G143" i="4"/>
  <c r="H143" i="4"/>
  <c r="D143" i="4"/>
  <c r="C158" i="4" s="1"/>
  <c r="G137" i="4"/>
  <c r="G135" i="4" s="1"/>
  <c r="F137" i="4"/>
  <c r="F135" i="4" s="1"/>
  <c r="E137" i="4"/>
  <c r="E135" i="4" s="1"/>
  <c r="D137" i="4"/>
  <c r="D135" i="4" s="1"/>
  <c r="C136" i="4"/>
  <c r="C133" i="4"/>
  <c r="H123" i="4"/>
  <c r="E126" i="4"/>
  <c r="E132" i="4" s="1"/>
  <c r="D126" i="4"/>
  <c r="D132" i="4" s="1"/>
  <c r="D124" i="4"/>
  <c r="E125" i="4"/>
  <c r="F125" i="4"/>
  <c r="G125" i="4"/>
  <c r="H125" i="4"/>
  <c r="D125" i="4"/>
  <c r="E124" i="4"/>
  <c r="F124" i="4"/>
  <c r="G124" i="4"/>
  <c r="H124" i="4"/>
  <c r="E122" i="4"/>
  <c r="F122" i="4"/>
  <c r="G122" i="4"/>
  <c r="G127" i="4" s="1"/>
  <c r="H122" i="4"/>
  <c r="D122" i="4"/>
  <c r="C137" i="4" s="1"/>
  <c r="D99" i="4"/>
  <c r="C4" i="4"/>
  <c r="D76" i="7"/>
  <c r="E76" i="7"/>
  <c r="C114" i="12" l="1"/>
  <c r="F138" i="12"/>
  <c r="F141" i="12" s="1"/>
  <c r="F165" i="12" s="1"/>
  <c r="F113" i="12"/>
  <c r="F119" i="12" s="1"/>
  <c r="F123" i="12" s="1"/>
  <c r="F125" i="12" s="1"/>
  <c r="H127" i="4"/>
  <c r="E161" i="12"/>
  <c r="E164" i="12" s="1"/>
  <c r="F127" i="4"/>
  <c r="F128" i="4" s="1"/>
  <c r="F131" i="4" s="1"/>
  <c r="F138" i="4" s="1"/>
  <c r="F163" i="4" s="1"/>
  <c r="G76" i="12"/>
  <c r="D64" i="12"/>
  <c r="D65" i="12" s="1"/>
  <c r="D68" i="12" s="1"/>
  <c r="D71" i="12" s="1"/>
  <c r="D73" i="12" s="1"/>
  <c r="G151" i="12"/>
  <c r="G157" i="12" s="1"/>
  <c r="G155" i="12"/>
  <c r="G113" i="12"/>
  <c r="G119" i="12" s="1"/>
  <c r="G117" i="12"/>
  <c r="D31" i="12"/>
  <c r="D32" i="12" s="1"/>
  <c r="D35" i="12" s="1"/>
  <c r="D38" i="12" s="1"/>
  <c r="D40" i="12" s="1"/>
  <c r="G138" i="12"/>
  <c r="G134" i="12"/>
  <c r="G140" i="12" s="1"/>
  <c r="E113" i="12"/>
  <c r="E119" i="12" s="1"/>
  <c r="E123" i="12" s="1"/>
  <c r="E125" i="12" s="1"/>
  <c r="E152" i="12"/>
  <c r="H50" i="12"/>
  <c r="H51" i="12" s="1"/>
  <c r="H54" i="12" s="1"/>
  <c r="H56" i="12" s="1"/>
  <c r="H74" i="12" s="1"/>
  <c r="F50" i="12"/>
  <c r="F51" i="12" s="1"/>
  <c r="F54" i="12" s="1"/>
  <c r="F56" i="12" s="1"/>
  <c r="F74" i="12" s="1"/>
  <c r="F76" i="12" s="1"/>
  <c r="H138" i="12"/>
  <c r="H134" i="12"/>
  <c r="H140" i="12" s="1"/>
  <c r="E50" i="12"/>
  <c r="E51" i="12"/>
  <c r="E54" i="12" s="1"/>
  <c r="E56" i="12" s="1"/>
  <c r="E74" i="12" s="1"/>
  <c r="F151" i="12"/>
  <c r="F157" i="12" s="1"/>
  <c r="F155" i="12"/>
  <c r="F161" i="12" s="1"/>
  <c r="F164" i="12" s="1"/>
  <c r="F167" i="12" s="1"/>
  <c r="D50" i="12"/>
  <c r="D51" i="12"/>
  <c r="D54" i="12" s="1"/>
  <c r="D56" i="12" s="1"/>
  <c r="D74" i="12" s="1"/>
  <c r="E138" i="12"/>
  <c r="E134" i="12"/>
  <c r="E140" i="12" s="1"/>
  <c r="E64" i="12"/>
  <c r="E65" i="12" s="1"/>
  <c r="E68" i="12" s="1"/>
  <c r="E71" i="12" s="1"/>
  <c r="E73" i="12" s="1"/>
  <c r="E76" i="12" s="1"/>
  <c r="D151" i="12"/>
  <c r="D157" i="12" s="1"/>
  <c r="D155" i="12"/>
  <c r="D161" i="12" s="1"/>
  <c r="D164" i="12" s="1"/>
  <c r="D152" i="12"/>
  <c r="E31" i="12"/>
  <c r="E32" i="12" s="1"/>
  <c r="E35" i="12" s="1"/>
  <c r="E38" i="12" s="1"/>
  <c r="E40" i="12" s="1"/>
  <c r="D138" i="12"/>
  <c r="D135" i="12"/>
  <c r="D134" i="12"/>
  <c r="D140" i="12" s="1"/>
  <c r="H113" i="12"/>
  <c r="H119" i="12" s="1"/>
  <c r="H117" i="12"/>
  <c r="H31" i="12"/>
  <c r="H32" i="12" s="1"/>
  <c r="H35" i="12" s="1"/>
  <c r="H38" i="12" s="1"/>
  <c r="D114" i="12"/>
  <c r="D118" i="12"/>
  <c r="D123" i="12" s="1"/>
  <c r="D125" i="12" s="1"/>
  <c r="H64" i="12"/>
  <c r="H65" i="12" s="1"/>
  <c r="H68" i="12" s="1"/>
  <c r="H71" i="12" s="1"/>
  <c r="H73" i="12" s="1"/>
  <c r="H76" i="12" s="1"/>
  <c r="G32" i="12"/>
  <c r="G35" i="12" s="1"/>
  <c r="G38" i="12" s="1"/>
  <c r="G40" i="12" s="1"/>
  <c r="G31" i="12"/>
  <c r="H151" i="12"/>
  <c r="H157" i="12" s="1"/>
  <c r="H161" i="12" s="1"/>
  <c r="H164" i="12" s="1"/>
  <c r="D137" i="3"/>
  <c r="C157" i="3" s="1"/>
  <c r="C155" i="3" s="1"/>
  <c r="C158" i="3" s="1"/>
  <c r="H140" i="3"/>
  <c r="H154" i="3"/>
  <c r="E152" i="3"/>
  <c r="C156" i="4"/>
  <c r="G128" i="4"/>
  <c r="G131" i="4" s="1"/>
  <c r="G138" i="4" s="1"/>
  <c r="G163" i="4" s="1"/>
  <c r="D148" i="4"/>
  <c r="D149" i="4" s="1"/>
  <c r="D152" i="4" s="1"/>
  <c r="D158" i="4"/>
  <c r="D156" i="4" s="1"/>
  <c r="H148" i="4"/>
  <c r="H149" i="4" s="1"/>
  <c r="H152" i="4" s="1"/>
  <c r="H128" i="4"/>
  <c r="H131" i="4" s="1"/>
  <c r="F158" i="4"/>
  <c r="F156" i="4" s="1"/>
  <c r="E158" i="4"/>
  <c r="E156" i="4" s="1"/>
  <c r="G158" i="4"/>
  <c r="G156" i="4" s="1"/>
  <c r="G148" i="4"/>
  <c r="G149" i="4" s="1"/>
  <c r="G152" i="4" s="1"/>
  <c r="H134" i="4"/>
  <c r="F148" i="4"/>
  <c r="F149" i="4" s="1"/>
  <c r="F152" i="4" s="1"/>
  <c r="E148" i="4"/>
  <c r="E149" i="4" s="1"/>
  <c r="E152" i="4" s="1"/>
  <c r="C135" i="4"/>
  <c r="D127" i="4"/>
  <c r="D128" i="4" s="1"/>
  <c r="D131" i="4" s="1"/>
  <c r="D138" i="4" s="1"/>
  <c r="D163" i="4" s="1"/>
  <c r="E127" i="4"/>
  <c r="E128" i="4" s="1"/>
  <c r="E131" i="4" s="1"/>
  <c r="E138" i="4" s="1"/>
  <c r="E163" i="4" s="1"/>
  <c r="D105" i="3"/>
  <c r="E101" i="3"/>
  <c r="F101" i="3"/>
  <c r="G101" i="3"/>
  <c r="H101" i="3"/>
  <c r="E100" i="3"/>
  <c r="F100" i="3"/>
  <c r="G100" i="3"/>
  <c r="H100" i="3"/>
  <c r="C20" i="3"/>
  <c r="C19" i="3"/>
  <c r="C4" i="3"/>
  <c r="C21" i="3" s="1"/>
  <c r="E105" i="3"/>
  <c r="F105" i="3"/>
  <c r="G105" i="3"/>
  <c r="H105" i="3"/>
  <c r="E59" i="3"/>
  <c r="F59" i="3" s="1"/>
  <c r="G59" i="3" s="1"/>
  <c r="H59" i="3" s="1"/>
  <c r="F58" i="3"/>
  <c r="G58" i="3" s="1"/>
  <c r="H58" i="3" s="1"/>
  <c r="H115" i="3"/>
  <c r="E65" i="3"/>
  <c r="F65" i="3"/>
  <c r="G65" i="3"/>
  <c r="H65" i="3"/>
  <c r="F64" i="3"/>
  <c r="G64" i="3"/>
  <c r="H64" i="3"/>
  <c r="E64" i="3"/>
  <c r="D64" i="3"/>
  <c r="O65" i="8"/>
  <c r="L59" i="8"/>
  <c r="M59" i="8"/>
  <c r="N59" i="8"/>
  <c r="K59" i="8"/>
  <c r="G59" i="8"/>
  <c r="H59" i="8"/>
  <c r="I59" i="8"/>
  <c r="J59" i="8"/>
  <c r="E60" i="8"/>
  <c r="E61" i="8" s="1"/>
  <c r="H57" i="8"/>
  <c r="I57" i="8" s="1"/>
  <c r="J57" i="8" s="1"/>
  <c r="K57" i="8" s="1"/>
  <c r="L57" i="8" s="1"/>
  <c r="M57" i="8" s="1"/>
  <c r="N57" i="8" s="1"/>
  <c r="D49" i="8"/>
  <c r="D48" i="8"/>
  <c r="D47" i="8"/>
  <c r="D40" i="8"/>
  <c r="D39" i="8"/>
  <c r="D36" i="8"/>
  <c r="D37" i="8" s="1"/>
  <c r="D38" i="8" s="1"/>
  <c r="E99" i="4"/>
  <c r="C109" i="4"/>
  <c r="E98" i="4"/>
  <c r="F98" i="4"/>
  <c r="G98" i="4"/>
  <c r="H98" i="4"/>
  <c r="E97" i="4"/>
  <c r="F97" i="4"/>
  <c r="G97" i="4"/>
  <c r="H97" i="4"/>
  <c r="D97" i="4"/>
  <c r="E96" i="4"/>
  <c r="F96" i="4"/>
  <c r="G96" i="4"/>
  <c r="H96" i="4"/>
  <c r="E95" i="4"/>
  <c r="F95" i="4"/>
  <c r="G95" i="4"/>
  <c r="H95" i="4"/>
  <c r="E93" i="4"/>
  <c r="F93" i="4"/>
  <c r="G93" i="4"/>
  <c r="H93" i="4"/>
  <c r="C80" i="4"/>
  <c r="C79" i="4"/>
  <c r="H123" i="12" l="1"/>
  <c r="G135" i="12"/>
  <c r="F114" i="12"/>
  <c r="H114" i="12"/>
  <c r="D141" i="12"/>
  <c r="D165" i="12" s="1"/>
  <c r="D167" i="12" s="1"/>
  <c r="O58" i="8"/>
  <c r="O60" i="8" s="1"/>
  <c r="O61" i="8" s="1"/>
  <c r="D50" i="8"/>
  <c r="D44" i="8"/>
  <c r="D51" i="8" s="1"/>
  <c r="D43" i="8"/>
  <c r="H60" i="3"/>
  <c r="H74" i="3"/>
  <c r="C94" i="4"/>
  <c r="C100" i="4" s="1"/>
  <c r="C123" i="4"/>
  <c r="G100" i="4"/>
  <c r="E159" i="4"/>
  <c r="E162" i="4" s="1"/>
  <c r="E164" i="4" s="1"/>
  <c r="H124" i="12"/>
  <c r="H125" i="12" s="1"/>
  <c r="D76" i="12"/>
  <c r="E141" i="12"/>
  <c r="E165" i="12" s="1"/>
  <c r="E167" i="12" s="1"/>
  <c r="F152" i="12"/>
  <c r="H135" i="12"/>
  <c r="G114" i="12"/>
  <c r="G152" i="12"/>
  <c r="H39" i="12"/>
  <c r="H40" i="12" s="1"/>
  <c r="C42" i="12" s="1"/>
  <c r="E135" i="12"/>
  <c r="E114" i="12"/>
  <c r="H141" i="12"/>
  <c r="H165" i="12" s="1"/>
  <c r="H167" i="12" s="1"/>
  <c r="H152" i="12"/>
  <c r="G141" i="12"/>
  <c r="G165" i="12" s="1"/>
  <c r="G123" i="12"/>
  <c r="G125" i="12" s="1"/>
  <c r="G161" i="12"/>
  <c r="G164" i="12" s="1"/>
  <c r="F104" i="3"/>
  <c r="G104" i="3" s="1"/>
  <c r="H104" i="3" s="1"/>
  <c r="E137" i="3"/>
  <c r="H138" i="4"/>
  <c r="H163" i="4" s="1"/>
  <c r="F159" i="4"/>
  <c r="F162" i="4" s="1"/>
  <c r="F164" i="4" s="1"/>
  <c r="C106" i="4"/>
  <c r="C154" i="4"/>
  <c r="G159" i="4"/>
  <c r="G162" i="4" s="1"/>
  <c r="G164" i="4" s="1"/>
  <c r="D159" i="4"/>
  <c r="D162" i="4" s="1"/>
  <c r="D164" i="4" s="1"/>
  <c r="C144" i="4"/>
  <c r="H155" i="4"/>
  <c r="H159" i="4" s="1"/>
  <c r="H162" i="4" s="1"/>
  <c r="C8" i="3"/>
  <c r="C15" i="3" s="1"/>
  <c r="C18" i="3"/>
  <c r="D99" i="3"/>
  <c r="F100" i="4"/>
  <c r="E100" i="4"/>
  <c r="F60" i="8"/>
  <c r="F61" i="8" s="1"/>
  <c r="N60" i="8"/>
  <c r="N61" i="8" s="1"/>
  <c r="J60" i="8"/>
  <c r="J61" i="8" s="1"/>
  <c r="L60" i="8"/>
  <c r="L61" i="8" s="1"/>
  <c r="H60" i="8"/>
  <c r="H61" i="8" s="1"/>
  <c r="M60" i="8"/>
  <c r="M61" i="8" s="1"/>
  <c r="I60" i="8"/>
  <c r="I61" i="8" s="1"/>
  <c r="K60" i="8"/>
  <c r="K61" i="8" s="1"/>
  <c r="G60" i="8"/>
  <c r="G61" i="8" s="1"/>
  <c r="H100" i="4"/>
  <c r="D100" i="4"/>
  <c r="D101" i="4" s="1"/>
  <c r="D59" i="4"/>
  <c r="E59" i="4"/>
  <c r="F59" i="4"/>
  <c r="G59" i="4"/>
  <c r="C20" i="4"/>
  <c r="C19" i="4"/>
  <c r="C3" i="4"/>
  <c r="E51" i="4"/>
  <c r="F51" i="4"/>
  <c r="G51" i="4"/>
  <c r="H51" i="4"/>
  <c r="D51" i="4"/>
  <c r="C84" i="7"/>
  <c r="E82" i="7" s="1"/>
  <c r="E83" i="7" s="1"/>
  <c r="D85" i="7"/>
  <c r="C56" i="7"/>
  <c r="C55" i="7"/>
  <c r="C8" i="4" l="1"/>
  <c r="C15" i="4" s="1"/>
  <c r="C22" i="4" s="1"/>
  <c r="C127" i="12"/>
  <c r="D53" i="8"/>
  <c r="D141" i="3"/>
  <c r="D146" i="3" s="1"/>
  <c r="D147" i="3" s="1"/>
  <c r="D151" i="3" s="1"/>
  <c r="F103" i="3"/>
  <c r="G103" i="3" s="1"/>
  <c r="H103" i="3" s="1"/>
  <c r="C85" i="7"/>
  <c r="C127" i="4"/>
  <c r="C128" i="4" s="1"/>
  <c r="C131" i="4" s="1"/>
  <c r="C138" i="4" s="1"/>
  <c r="C163" i="4" s="1"/>
  <c r="H164" i="4"/>
  <c r="G167" i="12"/>
  <c r="F137" i="3"/>
  <c r="D157" i="3"/>
  <c r="C22" i="3"/>
  <c r="C148" i="4"/>
  <c r="C149" i="4" s="1"/>
  <c r="C152" i="4" s="1"/>
  <c r="C159" i="4" s="1"/>
  <c r="C162" i="4" s="1"/>
  <c r="C117" i="3"/>
  <c r="C115" i="3" s="1"/>
  <c r="C118" i="3" s="1"/>
  <c r="C122" i="3" s="1"/>
  <c r="E99" i="3"/>
  <c r="C21" i="4"/>
  <c r="C18" i="4"/>
  <c r="E85" i="7"/>
  <c r="C24" i="4" l="1"/>
  <c r="C95" i="7"/>
  <c r="C24" i="3"/>
  <c r="D173" i="3" s="1"/>
  <c r="C164" i="4"/>
  <c r="E157" i="3"/>
  <c r="E155" i="3" s="1"/>
  <c r="G137" i="3"/>
  <c r="H137" i="3"/>
  <c r="D155" i="3"/>
  <c r="D158" i="3" s="1"/>
  <c r="D117" i="3"/>
  <c r="F99" i="3"/>
  <c r="D171" i="4"/>
  <c r="E173" i="3" l="1"/>
  <c r="H173" i="3"/>
  <c r="F173" i="3"/>
  <c r="C173" i="3"/>
  <c r="G173" i="3"/>
  <c r="G157" i="3"/>
  <c r="G155" i="3" s="1"/>
  <c r="F157" i="3"/>
  <c r="H153" i="3" s="1"/>
  <c r="H171" i="4"/>
  <c r="G171" i="4"/>
  <c r="C171" i="4"/>
  <c r="F171" i="4"/>
  <c r="E171" i="4"/>
  <c r="E117" i="3"/>
  <c r="E115" i="3" s="1"/>
  <c r="D115" i="3"/>
  <c r="H99" i="3"/>
  <c r="G99" i="3"/>
  <c r="F155" i="3" l="1"/>
  <c r="G117" i="3"/>
  <c r="G115" i="3" s="1"/>
  <c r="F117" i="3"/>
  <c r="F115" i="3" l="1"/>
  <c r="H113" i="3"/>
  <c r="C34" i="7"/>
  <c r="C33" i="7"/>
  <c r="C42" i="7"/>
  <c r="C43" i="7" s="1"/>
  <c r="C50" i="7" s="1"/>
  <c r="E67" i="7"/>
  <c r="D67" i="7"/>
  <c r="E66" i="7"/>
  <c r="D66" i="7"/>
  <c r="E65" i="7"/>
  <c r="D65" i="7"/>
  <c r="E64" i="7"/>
  <c r="D64" i="7"/>
  <c r="E63" i="7"/>
  <c r="D63" i="7"/>
  <c r="D68" i="7" l="1"/>
  <c r="D69" i="7"/>
  <c r="E68" i="7"/>
  <c r="E69" i="7" s="1"/>
  <c r="D72" i="7"/>
  <c r="D79" i="7" s="1"/>
  <c r="C35" i="7"/>
  <c r="C36" i="7" s="1"/>
  <c r="C77" i="7" s="1"/>
  <c r="D75" i="7"/>
  <c r="C30" i="7"/>
  <c r="C38" i="7" s="1"/>
  <c r="E64" i="8"/>
  <c r="F64" i="8"/>
  <c r="E74" i="7"/>
  <c r="D74" i="7"/>
  <c r="E73" i="7"/>
  <c r="D73" i="7"/>
  <c r="E66" i="8" l="1"/>
  <c r="E68" i="8" s="1"/>
  <c r="G64" i="8"/>
  <c r="F66" i="8"/>
  <c r="F68" i="8" s="1"/>
  <c r="C39" i="7"/>
  <c r="C78" i="7"/>
  <c r="C76" i="7" s="1"/>
  <c r="C79" i="7" s="1"/>
  <c r="E75" i="7"/>
  <c r="E72" i="7"/>
  <c r="E79" i="7" s="1"/>
  <c r="C54" i="7" l="1"/>
  <c r="G66" i="8"/>
  <c r="G68" i="8" s="1"/>
  <c r="C57" i="7"/>
  <c r="C44" i="7"/>
  <c r="C51" i="7" s="1"/>
  <c r="I64" i="8"/>
  <c r="I66" i="8"/>
  <c r="H66" i="8"/>
  <c r="H64" i="8"/>
  <c r="D81" i="7"/>
  <c r="D86" i="7" s="1"/>
  <c r="H68" i="8" l="1"/>
  <c r="C58" i="7"/>
  <c r="C60" i="7" s="1"/>
  <c r="E80" i="7" s="1"/>
  <c r="I68" i="8"/>
  <c r="J64" i="8"/>
  <c r="J66" i="8"/>
  <c r="J68" i="8" l="1"/>
  <c r="K66" i="8"/>
  <c r="K64" i="8"/>
  <c r="L66" i="8" l="1"/>
  <c r="L64" i="8"/>
  <c r="K68" i="8"/>
  <c r="L68" i="8" l="1"/>
  <c r="M64" i="8"/>
  <c r="M66" i="8"/>
  <c r="E81" i="7"/>
  <c r="E86" i="7" s="1"/>
  <c r="M68" i="8" l="1"/>
  <c r="N64" i="8"/>
  <c r="N66" i="8"/>
  <c r="O66" i="8"/>
  <c r="O64" i="8"/>
  <c r="O68" i="8" l="1"/>
  <c r="N68" i="8"/>
  <c r="D70" i="8" l="1"/>
  <c r="D37" i="4"/>
  <c r="H105" i="4"/>
  <c r="F49" i="4"/>
  <c r="G171" i="3"/>
  <c r="H171" i="3" s="1"/>
  <c r="C76" i="3"/>
  <c r="H75" i="3"/>
  <c r="H72" i="3"/>
  <c r="G72" i="3"/>
  <c r="F72" i="3"/>
  <c r="E72" i="3"/>
  <c r="D72" i="3"/>
  <c r="D38" i="3"/>
  <c r="D37" i="3"/>
  <c r="D38" i="4" l="1"/>
  <c r="D39" i="4" s="1"/>
  <c r="D52" i="4" s="1"/>
  <c r="E143" i="3"/>
  <c r="H143" i="3"/>
  <c r="G143" i="3"/>
  <c r="F143" i="3"/>
  <c r="F142" i="3"/>
  <c r="F141" i="3" s="1"/>
  <c r="G142" i="3"/>
  <c r="E142" i="3"/>
  <c r="H142" i="3"/>
  <c r="E37" i="3"/>
  <c r="E38" i="3"/>
  <c r="E63" i="3"/>
  <c r="F63" i="3" s="1"/>
  <c r="G63" i="3" s="1"/>
  <c r="H63" i="3" s="1"/>
  <c r="D110" i="4"/>
  <c r="D108" i="4" s="1"/>
  <c r="E110" i="4"/>
  <c r="E108" i="4" s="1"/>
  <c r="F105" i="4"/>
  <c r="H50" i="4"/>
  <c r="E50" i="4"/>
  <c r="E105" i="4"/>
  <c r="F110" i="4"/>
  <c r="F108" i="4" s="1"/>
  <c r="G49" i="4"/>
  <c r="H49" i="4"/>
  <c r="G50" i="4"/>
  <c r="G105" i="4"/>
  <c r="F50" i="4"/>
  <c r="H101" i="4"/>
  <c r="H104" i="4" s="1"/>
  <c r="G110" i="4"/>
  <c r="G108" i="4" s="1"/>
  <c r="E49" i="4"/>
  <c r="D105" i="4"/>
  <c r="D57" i="3"/>
  <c r="G141" i="3" l="1"/>
  <c r="C77" i="3"/>
  <c r="D53" i="4"/>
  <c r="D54" i="4" s="1"/>
  <c r="H141" i="3"/>
  <c r="H146" i="3" s="1"/>
  <c r="H147" i="3" s="1"/>
  <c r="H151" i="3" s="1"/>
  <c r="H158" i="3" s="1"/>
  <c r="F146" i="3"/>
  <c r="F147" i="3" s="1"/>
  <c r="F151" i="3" s="1"/>
  <c r="F158" i="3" s="1"/>
  <c r="G146" i="3"/>
  <c r="G147" i="3" s="1"/>
  <c r="G151" i="3" s="1"/>
  <c r="G158" i="3" s="1"/>
  <c r="E141" i="3"/>
  <c r="E62" i="3"/>
  <c r="D61" i="3"/>
  <c r="D66" i="3" s="1"/>
  <c r="D102" i="3"/>
  <c r="H107" i="4"/>
  <c r="C101" i="4"/>
  <c r="C104" i="4" s="1"/>
  <c r="E101" i="4"/>
  <c r="E104" i="4" s="1"/>
  <c r="E52" i="4"/>
  <c r="F52" i="4"/>
  <c r="G52" i="4"/>
  <c r="G53" i="4" s="1"/>
  <c r="H52" i="4"/>
  <c r="H53" i="4" s="1"/>
  <c r="F101" i="4"/>
  <c r="F104" i="4" s="1"/>
  <c r="C59" i="4"/>
  <c r="G101" i="4"/>
  <c r="G104" i="4" s="1"/>
  <c r="D104" i="4"/>
  <c r="C108" i="4"/>
  <c r="E57" i="3"/>
  <c r="D67" i="3" l="1"/>
  <c r="D106" i="3"/>
  <c r="D107" i="3" s="1"/>
  <c r="D111" i="3" s="1"/>
  <c r="D118" i="3" s="1"/>
  <c r="D122" i="3" s="1"/>
  <c r="E146" i="3"/>
  <c r="E147" i="3" s="1"/>
  <c r="E151" i="3" s="1"/>
  <c r="E158" i="3" s="1"/>
  <c r="D71" i="3"/>
  <c r="E102" i="3"/>
  <c r="F62" i="3"/>
  <c r="E61" i="3"/>
  <c r="D77" i="3"/>
  <c r="D75" i="3" s="1"/>
  <c r="G111" i="4"/>
  <c r="E111" i="4"/>
  <c r="E172" i="4" s="1"/>
  <c r="F111" i="4"/>
  <c r="D111" i="4"/>
  <c r="D172" i="4" s="1"/>
  <c r="H111" i="4"/>
  <c r="E53" i="4"/>
  <c r="E54" i="4" s="1"/>
  <c r="E57" i="4" s="1"/>
  <c r="E61" i="4" s="1"/>
  <c r="F53" i="4"/>
  <c r="F54" i="4" s="1"/>
  <c r="F57" i="4" s="1"/>
  <c r="F61" i="4" s="1"/>
  <c r="D57" i="4"/>
  <c r="D61" i="4" s="1"/>
  <c r="G54" i="4"/>
  <c r="G57" i="4" s="1"/>
  <c r="G61" i="4" s="1"/>
  <c r="H54" i="4"/>
  <c r="H57" i="4" s="1"/>
  <c r="C111" i="4"/>
  <c r="C61" i="4"/>
  <c r="H58" i="4"/>
  <c r="C75" i="3"/>
  <c r="C78" i="3" s="1"/>
  <c r="F57" i="3"/>
  <c r="C113" i="4" l="1"/>
  <c r="D78" i="3"/>
  <c r="D121" i="3" s="1"/>
  <c r="D123" i="3" s="1"/>
  <c r="D174" i="3" s="1"/>
  <c r="E66" i="3"/>
  <c r="E67" i="3" s="1"/>
  <c r="E71" i="3" s="1"/>
  <c r="C121" i="3"/>
  <c r="C123" i="3" s="1"/>
  <c r="E106" i="3"/>
  <c r="E107" i="3" s="1"/>
  <c r="E111" i="3" s="1"/>
  <c r="E118" i="3" s="1"/>
  <c r="E122" i="3" s="1"/>
  <c r="F102" i="3"/>
  <c r="G62" i="3"/>
  <c r="F61" i="3"/>
  <c r="E77" i="3"/>
  <c r="E75" i="3" s="1"/>
  <c r="F172" i="4"/>
  <c r="C172" i="4"/>
  <c r="C173" i="4" s="1"/>
  <c r="D173" i="4" s="1"/>
  <c r="E173" i="4" s="1"/>
  <c r="H172" i="4"/>
  <c r="G172" i="4"/>
  <c r="H61" i="4"/>
  <c r="C63" i="4" s="1"/>
  <c r="G57" i="3"/>
  <c r="K127" i="3" l="1"/>
  <c r="E78" i="3"/>
  <c r="E121" i="3" s="1"/>
  <c r="F66" i="3"/>
  <c r="F67" i="3" s="1"/>
  <c r="F71" i="3" s="1"/>
  <c r="N130" i="3"/>
  <c r="F127" i="3" s="1"/>
  <c r="C126" i="3"/>
  <c r="C174" i="3"/>
  <c r="C175" i="3" s="1"/>
  <c r="F106" i="3"/>
  <c r="F107" i="3" s="1"/>
  <c r="F111" i="3" s="1"/>
  <c r="F118" i="3" s="1"/>
  <c r="F122" i="3" s="1"/>
  <c r="F173" i="4"/>
  <c r="G173" i="4" s="1"/>
  <c r="H173" i="4" s="1"/>
  <c r="D126" i="3"/>
  <c r="E123" i="3"/>
  <c r="E174" i="3" s="1"/>
  <c r="M130" i="3"/>
  <c r="E127" i="3" s="1"/>
  <c r="C129" i="3"/>
  <c r="C130" i="3" s="1"/>
  <c r="H62" i="3"/>
  <c r="H61" i="3" s="1"/>
  <c r="G61" i="3"/>
  <c r="G102" i="3"/>
  <c r="H102" i="3"/>
  <c r="F77" i="3"/>
  <c r="H57" i="3"/>
  <c r="L130" i="3" l="1"/>
  <c r="L129" i="3"/>
  <c r="D128" i="3" s="1"/>
  <c r="C131" i="3"/>
  <c r="H66" i="3"/>
  <c r="H67" i="3" s="1"/>
  <c r="H71" i="3" s="1"/>
  <c r="O130" i="3"/>
  <c r="G127" i="3" s="1"/>
  <c r="G66" i="3"/>
  <c r="G67" i="3" s="1"/>
  <c r="G71" i="3" s="1"/>
  <c r="D175" i="3"/>
  <c r="E175" i="3" s="1"/>
  <c r="G106" i="3"/>
  <c r="G107" i="3" s="1"/>
  <c r="G111" i="3" s="1"/>
  <c r="G118" i="3" s="1"/>
  <c r="G122" i="3" s="1"/>
  <c r="H106" i="3"/>
  <c r="H107" i="3" s="1"/>
  <c r="H111" i="3" s="1"/>
  <c r="H118" i="3" s="1"/>
  <c r="H122" i="3" s="1"/>
  <c r="E126" i="3"/>
  <c r="G77" i="3"/>
  <c r="H73" i="3" s="1"/>
  <c r="F75" i="3"/>
  <c r="F78" i="3" s="1"/>
  <c r="F121" i="3" s="1"/>
  <c r="F123" i="3" s="1"/>
  <c r="L128" i="3" l="1"/>
  <c r="L127" i="3" s="1"/>
  <c r="M129" i="3" s="1"/>
  <c r="E128" i="3" s="1"/>
  <c r="E130" i="3" s="1"/>
  <c r="E131" i="3" s="1"/>
  <c r="D127" i="3"/>
  <c r="D130" i="3" s="1"/>
  <c r="G75" i="3"/>
  <c r="G78" i="3" s="1"/>
  <c r="G121" i="3" s="1"/>
  <c r="G123" i="3" s="1"/>
  <c r="H78" i="3"/>
  <c r="F126" i="3"/>
  <c r="F174" i="3"/>
  <c r="F175" i="3" s="1"/>
  <c r="D131" i="3" l="1"/>
  <c r="G174" i="3"/>
  <c r="G175" i="3" s="1"/>
  <c r="G126" i="3"/>
  <c r="H121" i="3"/>
  <c r="H123" i="3" s="1"/>
  <c r="H174" i="3" s="1"/>
  <c r="M128" i="3"/>
  <c r="M127" i="3" s="1"/>
  <c r="N129" i="3" s="1"/>
  <c r="F128" i="3" s="1"/>
  <c r="F130" i="3" s="1"/>
  <c r="H175" i="3" l="1"/>
  <c r="F131" i="3"/>
  <c r="H126" i="3"/>
  <c r="H131" i="3" s="1"/>
  <c r="N128" i="3"/>
  <c r="N127" i="3" s="1"/>
  <c r="O129" i="3" s="1"/>
  <c r="G128" i="3" s="1"/>
  <c r="G130" i="3" s="1"/>
  <c r="G131" i="3" s="1"/>
  <c r="O128" i="3" l="1"/>
  <c r="O127" i="3" s="1"/>
  <c r="C81" i="7" l="1"/>
  <c r="C86" i="7" l="1"/>
  <c r="C91" i="7" s="1"/>
  <c r="C89" i="7"/>
  <c r="C94" i="7"/>
  <c r="C93" i="7" s="1"/>
</calcChain>
</file>

<file path=xl/sharedStrings.xml><?xml version="1.0" encoding="utf-8"?>
<sst xmlns="http://schemas.openxmlformats.org/spreadsheetml/2006/main" count="733" uniqueCount="268">
  <si>
    <t>año 0</t>
  </si>
  <si>
    <t>año 4</t>
  </si>
  <si>
    <t>inversión</t>
  </si>
  <si>
    <t>capital de trabajo</t>
  </si>
  <si>
    <t>COK</t>
  </si>
  <si>
    <t>estado de resultados</t>
  </si>
  <si>
    <t>año 1</t>
  </si>
  <si>
    <t>año 2</t>
  </si>
  <si>
    <t>año 3</t>
  </si>
  <si>
    <t>ventas</t>
  </si>
  <si>
    <t>ganancias extraordinarias</t>
  </si>
  <si>
    <t>costos variables</t>
  </si>
  <si>
    <t>depreciación</t>
  </si>
  <si>
    <t>impuesto renta</t>
  </si>
  <si>
    <t>utilidad neta</t>
  </si>
  <si>
    <t>flujo de caja</t>
  </si>
  <si>
    <t>NOPAT</t>
  </si>
  <si>
    <t>(+) depreciación</t>
  </si>
  <si>
    <t>valor en libros AF</t>
  </si>
  <si>
    <t xml:space="preserve">   activos fijos</t>
  </si>
  <si>
    <t xml:space="preserve">   capital de trabajo</t>
  </si>
  <si>
    <t>FCL</t>
  </si>
  <si>
    <t>año 5</t>
  </si>
  <si>
    <t>precio gasolina</t>
  </si>
  <si>
    <t>precio diesel</t>
  </si>
  <si>
    <t>costos fijos</t>
  </si>
  <si>
    <t>recuperación activo fijo</t>
  </si>
  <si>
    <t>impuesto a la renta</t>
  </si>
  <si>
    <t>intereses</t>
  </si>
  <si>
    <t>flujo de caja libre</t>
  </si>
  <si>
    <t>servicio deuda</t>
  </si>
  <si>
    <t>saldo</t>
  </si>
  <si>
    <t>principal</t>
  </si>
  <si>
    <t>recupero capital trabajo</t>
  </si>
  <si>
    <t>cuota</t>
  </si>
  <si>
    <t xml:space="preserve">   activo fijo</t>
  </si>
  <si>
    <t>(-) SD</t>
  </si>
  <si>
    <t>(+) EFI</t>
  </si>
  <si>
    <t>(+) deuda</t>
  </si>
  <si>
    <t>FCA</t>
  </si>
  <si>
    <t>factor de actualización</t>
  </si>
  <si>
    <t>FCL actualizado</t>
  </si>
  <si>
    <t>inversión por recuperar</t>
  </si>
  <si>
    <t>alternativa 1</t>
  </si>
  <si>
    <t>alternativa 2</t>
  </si>
  <si>
    <t>valor de liquidación</t>
  </si>
  <si>
    <t>transporte</t>
  </si>
  <si>
    <t>x viaje (m3)</t>
  </si>
  <si>
    <t xml:space="preserve">número cajas año </t>
  </si>
  <si>
    <t>impto.renta</t>
  </si>
  <si>
    <t>valor de liquidación CT</t>
  </si>
  <si>
    <t>estado de resultados incremental</t>
  </si>
  <si>
    <t>ahorro costos fijos</t>
  </si>
  <si>
    <t>depreciación nueva</t>
  </si>
  <si>
    <t>depreciación vieja</t>
  </si>
  <si>
    <t>factor actualización</t>
  </si>
  <si>
    <t>inversión x recuperar</t>
  </si>
  <si>
    <t>se recupera en el 5to. año</t>
  </si>
  <si>
    <t>erosión</t>
  </si>
  <si>
    <t>activos fijos</t>
  </si>
  <si>
    <t>FC</t>
  </si>
  <si>
    <t>VPN</t>
  </si>
  <si>
    <t>año 6</t>
  </si>
  <si>
    <t>cto.de ventas</t>
  </si>
  <si>
    <t>mano de obra</t>
  </si>
  <si>
    <t>ingresos</t>
  </si>
  <si>
    <t>cap.de trabajo</t>
  </si>
  <si>
    <t xml:space="preserve">   clientes</t>
  </si>
  <si>
    <t xml:space="preserve">   inventarios</t>
  </si>
  <si>
    <t xml:space="preserve">   proveedores</t>
  </si>
  <si>
    <t>FCL1</t>
  </si>
  <si>
    <t>incremento cap.de trab.</t>
  </si>
  <si>
    <t>escudo fiscal intereses</t>
  </si>
  <si>
    <t>deuda</t>
  </si>
  <si>
    <t>tasa de interés</t>
  </si>
  <si>
    <t>año 7</t>
  </si>
  <si>
    <t>año 8</t>
  </si>
  <si>
    <t>año 9</t>
  </si>
  <si>
    <t>año 10</t>
  </si>
  <si>
    <t>año 11</t>
  </si>
  <si>
    <t>valor en libros</t>
  </si>
  <si>
    <t>costo deuda</t>
  </si>
  <si>
    <t>tasa de interes</t>
  </si>
  <si>
    <t>maquinaria (cto. oportunidad)</t>
  </si>
  <si>
    <t>valor contable</t>
  </si>
  <si>
    <t>año 1-2</t>
  </si>
  <si>
    <t>D/A</t>
  </si>
  <si>
    <t>inversión cap.de trabajo</t>
  </si>
  <si>
    <t>inversión en activos fijos</t>
  </si>
  <si>
    <t>valor de mercado</t>
  </si>
  <si>
    <t>efecto fiscal</t>
  </si>
  <si>
    <t>inversión en activos</t>
  </si>
  <si>
    <t>E/A</t>
  </si>
  <si>
    <t>riesgo país</t>
  </si>
  <si>
    <t>parametros CAPM</t>
  </si>
  <si>
    <t>1928-2019</t>
  </si>
  <si>
    <t>tasas de descuento</t>
  </si>
  <si>
    <t>datos WACC</t>
  </si>
  <si>
    <t>Tax</t>
  </si>
  <si>
    <t>rμ</t>
  </si>
  <si>
    <t>rproy</t>
  </si>
  <si>
    <t>WACCproy</t>
  </si>
  <si>
    <t>D/A empresa</t>
  </si>
  <si>
    <t>deuda proyecto</t>
  </si>
  <si>
    <t>FC fin.</t>
  </si>
  <si>
    <t>VPN FCL@12.44%</t>
  </si>
  <si>
    <t>VPN FCA@12.88%</t>
  </si>
  <si>
    <t>VPN FCL@12.49%</t>
  </si>
  <si>
    <t>VPN FCFin@10%</t>
  </si>
  <si>
    <t xml:space="preserve">   inventarios (días)</t>
  </si>
  <si>
    <t xml:space="preserve">   proveedores (días)</t>
  </si>
  <si>
    <t>perpetuidad</t>
  </si>
  <si>
    <t>PANEL DE VARIABLES DE ENTRADA (ALTERNATIVA 1)</t>
  </si>
  <si>
    <t>capacidad nuevo local (horas de clase)</t>
  </si>
  <si>
    <t>costo hoteles</t>
  </si>
  <si>
    <t>costo hoteles ($/hora de clase)</t>
  </si>
  <si>
    <t>costos de operación sede actual</t>
  </si>
  <si>
    <t>costos de operación sede nueva</t>
  </si>
  <si>
    <t>valor de mercado (sede actual)</t>
  </si>
  <si>
    <t>valor en libros (sede actual)</t>
  </si>
  <si>
    <t>inversión nueva sede</t>
  </si>
  <si>
    <t>depreciación (nueva sede)</t>
  </si>
  <si>
    <t>capacidad sede actual (horas de clase)</t>
  </si>
  <si>
    <t>precio ($/hora de clase)</t>
  </si>
  <si>
    <t>ventas (miles $)</t>
  </si>
  <si>
    <t>ventas en horas de clase</t>
  </si>
  <si>
    <t>costo sede nueva</t>
  </si>
  <si>
    <t xml:space="preserve">ingresos </t>
  </si>
  <si>
    <t>depreciación sede nueva</t>
  </si>
  <si>
    <t>PANEL DE VARIABLES DE ENTRADA (ALTERNATIVA 2)</t>
  </si>
  <si>
    <t>inversión equipos</t>
  </si>
  <si>
    <t>venta programas adicionales</t>
  </si>
  <si>
    <t>pérdida ingresos/ingresos dejados de percibir</t>
  </si>
  <si>
    <t xml:space="preserve">depreciación </t>
  </si>
  <si>
    <t>perdida de ingresos</t>
  </si>
  <si>
    <t>ingresos adicionales</t>
  </si>
  <si>
    <t>valor nueva sede</t>
  </si>
  <si>
    <t>costos</t>
  </si>
  <si>
    <t>venta sede actual</t>
  </si>
  <si>
    <t>valor mercado (muebles/cuadros)</t>
  </si>
  <si>
    <t>FCL 1</t>
  </si>
  <si>
    <t>costo de oportunidad muebles/cuadros (neto de tax)</t>
  </si>
  <si>
    <t>PANEL DE VARIABLES DE ENTRADA</t>
  </si>
  <si>
    <t>capital de trabajo (% ventas)</t>
  </si>
  <si>
    <t>costos fijos adicionales</t>
  </si>
  <si>
    <t>tarifa de transporte x viaje</t>
  </si>
  <si>
    <t>viajes al año</t>
  </si>
  <si>
    <t>número cajas viaje</t>
  </si>
  <si>
    <t>D/E</t>
  </si>
  <si>
    <t>soft beverage (Damodaran)</t>
  </si>
  <si>
    <t>inversión activo fijo</t>
  </si>
  <si>
    <t>valor liquidación (% valor inicial)</t>
  </si>
  <si>
    <t>maquinaria actual valor en libros</t>
  </si>
  <si>
    <t>maquinaria actual valor de mercado</t>
  </si>
  <si>
    <t>valor de liquidación (% valor inicial)</t>
  </si>
  <si>
    <t>maquinaria actual (valor adquisición)</t>
  </si>
  <si>
    <t>producción actual m3</t>
  </si>
  <si>
    <t>costo fijo actual</t>
  </si>
  <si>
    <t>costo fijo adicional</t>
  </si>
  <si>
    <t>tasas de depreciación</t>
  </si>
  <si>
    <t xml:space="preserve">   edificios</t>
  </si>
  <si>
    <t xml:space="preserve">   acondicionamiento</t>
  </si>
  <si>
    <t xml:space="preserve">   inversiones adicionales</t>
  </si>
  <si>
    <t>año 1-5</t>
  </si>
  <si>
    <t>ahorros de alquiler</t>
  </si>
  <si>
    <t>ahorros de costo</t>
  </si>
  <si>
    <t>ahorros diversos</t>
  </si>
  <si>
    <t>año2</t>
  </si>
  <si>
    <t xml:space="preserve">      ahorros</t>
  </si>
  <si>
    <t>tasa de impuesto</t>
  </si>
  <si>
    <t>año 3-10</t>
  </si>
  <si>
    <t>D/A proyecto</t>
  </si>
  <si>
    <t>gasolina (barriles/día)</t>
  </si>
  <si>
    <t>diese (barriles/día)</t>
  </si>
  <si>
    <t xml:space="preserve">   gasolina</t>
  </si>
  <si>
    <t xml:space="preserve">   diesel</t>
  </si>
  <si>
    <t xml:space="preserve">   obras civiles</t>
  </si>
  <si>
    <t xml:space="preserve">   tanques/isletas</t>
  </si>
  <si>
    <t>tasa de impuesto a la renta</t>
  </si>
  <si>
    <t xml:space="preserve">   terreno</t>
  </si>
  <si>
    <t xml:space="preserve">   tanques</t>
  </si>
  <si>
    <t xml:space="preserve">   isletas de despacho</t>
  </si>
  <si>
    <t>inversión capital de trabajo (% ventas)</t>
  </si>
  <si>
    <t>año 2-5</t>
  </si>
  <si>
    <t xml:space="preserve">      demanda/costos variables</t>
  </si>
  <si>
    <t>situación con proyecto</t>
  </si>
  <si>
    <t>situación sin proyecto</t>
  </si>
  <si>
    <t>PANEL DE VARIABLES DE ENTRADA (SITUACIÓN CON PROYECTO)</t>
  </si>
  <si>
    <t xml:space="preserve">     costos variables</t>
  </si>
  <si>
    <t>FCL con proyecto</t>
  </si>
  <si>
    <t>FCL sin proyecto</t>
  </si>
  <si>
    <t>FCL proyecto</t>
  </si>
  <si>
    <t>FC Fin</t>
  </si>
  <si>
    <t>FCL incremental (proyecto)</t>
  </si>
  <si>
    <t>oil/gas distribution Damodaran</t>
  </si>
  <si>
    <t>VPN FCL@5.67%</t>
  </si>
  <si>
    <t>VPN FCA@8.92%</t>
  </si>
  <si>
    <t xml:space="preserve">   VPN FCL@5.83%</t>
  </si>
  <si>
    <t xml:space="preserve">   VPN FCFin@5%</t>
  </si>
  <si>
    <t>en el año 5 se recupera la inversión.</t>
  </si>
  <si>
    <t xml:space="preserve">   edificio</t>
  </si>
  <si>
    <t>VPNA/APV</t>
  </si>
  <si>
    <t xml:space="preserve">   clientes (días)</t>
  </si>
  <si>
    <t>costo operativo</t>
  </si>
  <si>
    <t>ahorro cto. operativo prod. actual</t>
  </si>
  <si>
    <t>a)</t>
  </si>
  <si>
    <t>b)</t>
  </si>
  <si>
    <t>c)</t>
  </si>
  <si>
    <t>b.2)</t>
  </si>
  <si>
    <t>ALTERNATIVA 2: SITUACIÓN CON PROYECTO/SITUACIÓN SIN PROYECTO</t>
  </si>
  <si>
    <t>flujo de caja incremental</t>
  </si>
  <si>
    <t>flujo de caja libre incremental</t>
  </si>
  <si>
    <t>PANEL DE VARIABLES DE ENTRADA (SITUACIÓN SIN PROYECTO)</t>
  </si>
  <si>
    <t>b.1)</t>
  </si>
  <si>
    <t>FCL INCREMENTAL</t>
  </si>
  <si>
    <t>ingresos (ahorros)</t>
  </si>
  <si>
    <t>estado de resultados sin proyecto</t>
  </si>
  <si>
    <t>flujo de caja sin proyecto</t>
  </si>
  <si>
    <t>costo sede actual</t>
  </si>
  <si>
    <t>depreciación sede actual</t>
  </si>
  <si>
    <t>estado de resultados con proyecto</t>
  </si>
  <si>
    <t>depreciación nueva sede</t>
  </si>
  <si>
    <t>(-) inversión</t>
  </si>
  <si>
    <t>costo nueva sede</t>
  </si>
  <si>
    <t>flujo de caja con proyecto</t>
  </si>
  <si>
    <t>ALTERNATIVA 1</t>
  </si>
  <si>
    <t>MÉTODO 2: FLUJO DE CAJA CON/SIN PROYECTO</t>
  </si>
  <si>
    <t>MÉTODO 1: FLUJO DE CAJA INCREMENTAL</t>
  </si>
  <si>
    <t>ahorro costos sede antigua/hoteles</t>
  </si>
  <si>
    <t>ALTERNATIVA 2</t>
  </si>
  <si>
    <t>costo de venta (sin depreciación/MO)</t>
  </si>
  <si>
    <t>erosión (% ventas)</t>
  </si>
  <si>
    <t>la empresa debe optar por la alternativa 2</t>
  </si>
  <si>
    <t>La empresa debe ir adelante con el proyecto</t>
  </si>
  <si>
    <t>la empresa debería invertir en la nueva planta</t>
  </si>
  <si>
    <t>d)</t>
  </si>
  <si>
    <r>
      <t xml:space="preserve">β </t>
    </r>
    <r>
      <rPr>
        <i/>
        <sz val="11"/>
        <color theme="1"/>
        <rFont val="Cambria"/>
        <family val="1"/>
      </rPr>
      <t>equity</t>
    </r>
  </si>
  <si>
    <r>
      <t xml:space="preserve">β </t>
    </r>
    <r>
      <rPr>
        <vertAlign val="subscript"/>
        <sz val="11"/>
        <color theme="1"/>
        <rFont val="Cambria"/>
        <family val="1"/>
      </rPr>
      <t>equity</t>
    </r>
  </si>
  <si>
    <r>
      <t>β</t>
    </r>
    <r>
      <rPr>
        <vertAlign val="subscript"/>
        <sz val="11"/>
        <color theme="1"/>
        <rFont val="Cambria"/>
        <family val="1"/>
      </rPr>
      <t>u</t>
    </r>
  </si>
  <si>
    <r>
      <t xml:space="preserve">β </t>
    </r>
    <r>
      <rPr>
        <vertAlign val="subscript"/>
        <sz val="11"/>
        <color theme="1"/>
        <rFont val="Cambria"/>
        <family val="1"/>
      </rPr>
      <t>proyecto</t>
    </r>
  </si>
  <si>
    <r>
      <t>r</t>
    </r>
    <r>
      <rPr>
        <vertAlign val="subscript"/>
        <sz val="11"/>
        <rFont val="Cambria"/>
        <family val="1"/>
      </rPr>
      <t>f</t>
    </r>
  </si>
  <si>
    <r>
      <t>r</t>
    </r>
    <r>
      <rPr>
        <vertAlign val="subscript"/>
        <sz val="11"/>
        <rFont val="Cambria"/>
        <family val="1"/>
      </rPr>
      <t>m</t>
    </r>
    <r>
      <rPr>
        <sz val="11"/>
        <rFont val="Cambria"/>
        <family val="1"/>
      </rPr>
      <t>-r</t>
    </r>
    <r>
      <rPr>
        <vertAlign val="subscript"/>
        <sz val="11"/>
        <rFont val="Cambria"/>
        <family val="1"/>
      </rPr>
      <t>f</t>
    </r>
  </si>
  <si>
    <t>El proyecto de Machica de Confiteca SA</t>
  </si>
  <si>
    <t>La escuela de negocios del reino de Bosquivia</t>
  </si>
  <si>
    <t>La maquinaria de Embotelladora Sipán SA</t>
  </si>
  <si>
    <r>
      <t>incremento producción m</t>
    </r>
    <r>
      <rPr>
        <vertAlign val="superscript"/>
        <sz val="11"/>
        <color theme="1"/>
        <rFont val="Cambria"/>
        <family val="1"/>
      </rPr>
      <t>3</t>
    </r>
  </si>
  <si>
    <r>
      <t>precio ($/m</t>
    </r>
    <r>
      <rPr>
        <vertAlign val="superscript"/>
        <sz val="11"/>
        <color theme="1"/>
        <rFont val="Cambria"/>
        <family val="1"/>
      </rPr>
      <t>3</t>
    </r>
    <r>
      <rPr>
        <sz val="11"/>
        <color theme="1"/>
        <rFont val="Cambria"/>
        <family val="1"/>
      </rPr>
      <t>)</t>
    </r>
  </si>
  <si>
    <r>
      <t>costo operativo ($/m</t>
    </r>
    <r>
      <rPr>
        <vertAlign val="superscript"/>
        <sz val="11"/>
        <color theme="1"/>
        <rFont val="Cambria"/>
        <family val="1"/>
      </rPr>
      <t>3</t>
    </r>
    <r>
      <rPr>
        <sz val="11"/>
        <color theme="1"/>
        <rFont val="Cambria"/>
        <family val="1"/>
      </rPr>
      <t>)</t>
    </r>
  </si>
  <si>
    <r>
      <t>costo operativo actual ($/m</t>
    </r>
    <r>
      <rPr>
        <vertAlign val="superscript"/>
        <sz val="11"/>
        <color theme="1"/>
        <rFont val="Cambria"/>
        <family val="1"/>
      </rPr>
      <t>3</t>
    </r>
    <r>
      <rPr>
        <sz val="11"/>
        <color theme="1"/>
        <rFont val="Cambria"/>
        <family val="1"/>
      </rPr>
      <t>)</t>
    </r>
  </si>
  <si>
    <r>
      <t>costos operativos ($/m</t>
    </r>
    <r>
      <rPr>
        <vertAlign val="superscript"/>
        <sz val="11"/>
        <color theme="1"/>
        <rFont val="Cambria"/>
        <family val="1"/>
      </rPr>
      <t>3</t>
    </r>
    <r>
      <rPr>
        <sz val="11"/>
        <color theme="1"/>
        <rFont val="Cambria"/>
        <family val="1"/>
      </rPr>
      <t>)</t>
    </r>
  </si>
  <si>
    <r>
      <rPr>
        <b/>
        <i/>
        <sz val="11"/>
        <color theme="1"/>
        <rFont val="Cambria"/>
        <family val="1"/>
      </rPr>
      <t>Payback</t>
    </r>
    <r>
      <rPr>
        <b/>
        <sz val="11"/>
        <color theme="1"/>
        <rFont val="Cambria"/>
        <family val="1"/>
      </rPr>
      <t xml:space="preserve"> con el FCL</t>
    </r>
  </si>
  <si>
    <t>El proyecto de Petrogrande</t>
  </si>
  <si>
    <t>El nuevo estudio de Liana TV</t>
  </si>
  <si>
    <t>1. Los proyectos en Ruritania</t>
  </si>
  <si>
    <t>2. El proyecto de Machica de Confiteca SA</t>
  </si>
  <si>
    <t>3. La escuela de negocios del reino de Bosquivia</t>
  </si>
  <si>
    <t>4. La maquinaria de Embotelladora Sipán SA</t>
  </si>
  <si>
    <t>5. El proyecto de Petrogrande</t>
  </si>
  <si>
    <t>6. El nuevo estudio de Liana TV</t>
  </si>
  <si>
    <t>Paúl Lira Briceño</t>
  </si>
  <si>
    <t>Evaluación de proyectos de inversión</t>
  </si>
  <si>
    <t>Guía teórica y práctica</t>
  </si>
  <si>
    <t>EJERCICIOS Y MINICASOS RESUELTOS - CAPÍTULO V</t>
  </si>
  <si>
    <t>La empresa debe mantener la sede y comprar el local vecino</t>
  </si>
  <si>
    <r>
      <rPr>
        <b/>
        <i/>
        <sz val="11"/>
        <color theme="1"/>
        <rFont val="Cambria"/>
        <family val="1"/>
      </rPr>
      <t>Payback</t>
    </r>
    <r>
      <rPr>
        <b/>
        <sz val="11"/>
        <color theme="1"/>
        <rFont val="Cambria"/>
        <family val="1"/>
      </rPr>
      <t xml:space="preserve"> (alternativa 2) con el FCL</t>
    </r>
  </si>
  <si>
    <t>Los proyectos en Ruritania</t>
  </si>
  <si>
    <t>La tasa de rendimiento del negocio de cocadas es de 10%. (COK = 1000/10 000).</t>
  </si>
  <si>
    <t>Llevada al gráfico, esa tasa de rendimiento hace que se prefiera el proyecto B (leche de tigre).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</si>
</sst>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1"/>
      <name val="Cambria"/>
      <family val="1"/>
    </font>
    <font>
      <vertAlign val="subscript"/>
      <sz val="11"/>
      <color theme="1"/>
      <name val="Cambria"/>
      <family val="1"/>
    </font>
    <font>
      <sz val="11"/>
      <name val="Cambria"/>
      <family val="1"/>
    </font>
    <font>
      <vertAlign val="subscript"/>
      <sz val="1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theme="0"/>
      <name val="Cambria"/>
      <family val="1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color theme="0"/>
      <name val="Cambria"/>
      <family val="1"/>
    </font>
    <font>
      <sz val="10"/>
      <color theme="0"/>
      <name val="Calibri"/>
      <family val="2"/>
      <scheme val="minor"/>
    </font>
    <font>
      <b/>
      <sz val="18"/>
      <color theme="0"/>
      <name val="Cambria"/>
      <family val="1"/>
    </font>
    <font>
      <b/>
      <i/>
      <sz val="10"/>
      <color theme="0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31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4" fontId="4" fillId="2" borderId="0" xfId="0" applyNumberFormat="1" applyFont="1" applyFill="1" applyAlignment="1">
      <alignment vertical="center"/>
    </xf>
    <xf numFmtId="4" fontId="5" fillId="2" borderId="0" xfId="0" applyNumberFormat="1" applyFont="1" applyFill="1"/>
    <xf numFmtId="4" fontId="5" fillId="2" borderId="6" xfId="0" applyNumberFormat="1" applyFont="1" applyFill="1" applyBorder="1"/>
    <xf numFmtId="4" fontId="5" fillId="2" borderId="0" xfId="0" applyNumberFormat="1" applyFont="1" applyFill="1" applyBorder="1"/>
    <xf numFmtId="4" fontId="5" fillId="2" borderId="7" xfId="0" applyNumberFormat="1" applyFont="1" applyFill="1" applyBorder="1"/>
    <xf numFmtId="3" fontId="5" fillId="2" borderId="0" xfId="0" applyNumberFormat="1" applyFont="1" applyFill="1" applyBorder="1"/>
    <xf numFmtId="9" fontId="5" fillId="2" borderId="0" xfId="1" applyFont="1" applyFill="1" applyBorder="1"/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6" fillId="2" borderId="0" xfId="0" applyNumberFormat="1" applyFont="1" applyFill="1"/>
    <xf numFmtId="10" fontId="5" fillId="2" borderId="0" xfId="1" applyNumberFormat="1" applyFont="1" applyFill="1"/>
    <xf numFmtId="1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10" fontId="13" fillId="2" borderId="0" xfId="1" applyNumberFormat="1" applyFont="1" applyFill="1" applyBorder="1" applyAlignment="1">
      <alignment horizontal="right"/>
    </xf>
    <xf numFmtId="4" fontId="13" fillId="2" borderId="0" xfId="0" applyNumberFormat="1" applyFont="1" applyFill="1" applyBorder="1"/>
    <xf numFmtId="4" fontId="12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9" fontId="13" fillId="2" borderId="0" xfId="1" applyFont="1" applyFill="1" applyBorder="1" applyAlignment="1">
      <alignment horizontal="right"/>
    </xf>
    <xf numFmtId="4" fontId="5" fillId="2" borderId="15" xfId="0" applyNumberFormat="1" applyFont="1" applyFill="1" applyBorder="1"/>
    <xf numFmtId="4" fontId="5" fillId="2" borderId="16" xfId="0" applyNumberFormat="1" applyFont="1" applyFill="1" applyBorder="1"/>
    <xf numFmtId="9" fontId="5" fillId="2" borderId="16" xfId="1" applyFont="1" applyFill="1" applyBorder="1"/>
    <xf numFmtId="4" fontId="5" fillId="2" borderId="18" xfId="0" applyNumberFormat="1" applyFont="1" applyFill="1" applyBorder="1"/>
    <xf numFmtId="4" fontId="5" fillId="2" borderId="1" xfId="0" applyNumberFormat="1" applyFont="1" applyFill="1" applyBorder="1"/>
    <xf numFmtId="4" fontId="5" fillId="2" borderId="17" xfId="0" applyNumberFormat="1" applyFont="1" applyFill="1" applyBorder="1"/>
    <xf numFmtId="4" fontId="5" fillId="5" borderId="19" xfId="0" applyNumberFormat="1" applyFont="1" applyFill="1" applyBorder="1"/>
    <xf numFmtId="4" fontId="6" fillId="5" borderId="2" xfId="0" applyNumberFormat="1" applyFont="1" applyFill="1" applyBorder="1" applyAlignment="1">
      <alignment horizontal="right"/>
    </xf>
    <xf numFmtId="4" fontId="6" fillId="5" borderId="20" xfId="0" applyNumberFormat="1" applyFont="1" applyFill="1" applyBorder="1" applyAlignment="1">
      <alignment horizontal="right"/>
    </xf>
    <xf numFmtId="4" fontId="4" fillId="4" borderId="19" xfId="0" applyNumberFormat="1" applyFont="1" applyFill="1" applyBorder="1"/>
    <xf numFmtId="4" fontId="8" fillId="6" borderId="19" xfId="0" applyNumberFormat="1" applyFont="1" applyFill="1" applyBorder="1"/>
    <xf numFmtId="4" fontId="8" fillId="6" borderId="20" xfId="0" applyNumberFormat="1" applyFont="1" applyFill="1" applyBorder="1"/>
    <xf numFmtId="4" fontId="4" fillId="4" borderId="20" xfId="0" applyNumberFormat="1" applyFont="1" applyFill="1" applyBorder="1" applyAlignment="1">
      <alignment horizontal="right"/>
    </xf>
    <xf numFmtId="4" fontId="6" fillId="6" borderId="19" xfId="0" applyNumberFormat="1" applyFont="1" applyFill="1" applyBorder="1"/>
    <xf numFmtId="4" fontId="6" fillId="6" borderId="20" xfId="0" applyNumberFormat="1" applyFont="1" applyFill="1" applyBorder="1"/>
    <xf numFmtId="10" fontId="5" fillId="2" borderId="17" xfId="1" applyNumberFormat="1" applyFont="1" applyFill="1" applyBorder="1"/>
    <xf numFmtId="4" fontId="5" fillId="7" borderId="18" xfId="0" applyNumberFormat="1" applyFont="1" applyFill="1" applyBorder="1"/>
    <xf numFmtId="4" fontId="5" fillId="7" borderId="19" xfId="0" applyNumberFormat="1" applyFont="1" applyFill="1" applyBorder="1"/>
    <xf numFmtId="10" fontId="5" fillId="2" borderId="11" xfId="1" applyNumberFormat="1" applyFont="1" applyFill="1" applyBorder="1"/>
    <xf numFmtId="4" fontId="4" fillId="4" borderId="19" xfId="0" applyNumberFormat="1" applyFont="1" applyFill="1" applyBorder="1" applyAlignment="1">
      <alignment horizontal="center"/>
    </xf>
    <xf numFmtId="4" fontId="14" fillId="4" borderId="20" xfId="0" applyNumberFormat="1" applyFont="1" applyFill="1" applyBorder="1"/>
    <xf numFmtId="4" fontId="5" fillId="2" borderId="15" xfId="0" applyNumberFormat="1" applyFont="1" applyFill="1" applyBorder="1" applyAlignment="1">
      <alignment horizontal="left"/>
    </xf>
    <xf numFmtId="4" fontId="10" fillId="2" borderId="15" xfId="0" applyNumberFormat="1" applyFont="1" applyFill="1" applyBorder="1"/>
    <xf numFmtId="10" fontId="5" fillId="2" borderId="16" xfId="1" applyNumberFormat="1" applyFont="1" applyFill="1" applyBorder="1"/>
    <xf numFmtId="4" fontId="13" fillId="2" borderId="15" xfId="0" applyNumberFormat="1" applyFont="1" applyFill="1" applyBorder="1" applyAlignment="1">
      <alignment horizontal="center"/>
    </xf>
    <xf numFmtId="10" fontId="13" fillId="2" borderId="16" xfId="1" applyNumberFormat="1" applyFont="1" applyFill="1" applyBorder="1" applyAlignment="1">
      <alignment horizontal="right"/>
    </xf>
    <xf numFmtId="4" fontId="13" fillId="2" borderId="18" xfId="0" applyNumberFormat="1" applyFont="1" applyFill="1" applyBorder="1" applyAlignment="1">
      <alignment horizontal="center"/>
    </xf>
    <xf numFmtId="10" fontId="13" fillId="2" borderId="17" xfId="1" applyNumberFormat="1" applyFont="1" applyFill="1" applyBorder="1" applyAlignment="1">
      <alignment horizontal="right"/>
    </xf>
    <xf numFmtId="4" fontId="14" fillId="4" borderId="20" xfId="0" applyNumberFormat="1" applyFont="1" applyFill="1" applyBorder="1" applyAlignment="1">
      <alignment horizontal="right"/>
    </xf>
    <xf numFmtId="9" fontId="13" fillId="2" borderId="16" xfId="1" applyNumberFormat="1" applyFont="1" applyFill="1" applyBorder="1" applyAlignment="1">
      <alignment horizontal="right"/>
    </xf>
    <xf numFmtId="9" fontId="13" fillId="2" borderId="16" xfId="1" applyFont="1" applyFill="1" applyBorder="1" applyAlignment="1">
      <alignment horizontal="right"/>
    </xf>
    <xf numFmtId="10" fontId="14" fillId="4" borderId="20" xfId="1" applyNumberFormat="1" applyFont="1" applyFill="1" applyBorder="1" applyAlignment="1">
      <alignment horizontal="right"/>
    </xf>
    <xf numFmtId="4" fontId="13" fillId="6" borderId="19" xfId="0" applyNumberFormat="1" applyFont="1" applyFill="1" applyBorder="1" applyAlignment="1">
      <alignment horizontal="center"/>
    </xf>
    <xf numFmtId="10" fontId="12" fillId="6" borderId="20" xfId="1" applyNumberFormat="1" applyFont="1" applyFill="1" applyBorder="1" applyAlignment="1">
      <alignment horizontal="right"/>
    </xf>
    <xf numFmtId="4" fontId="6" fillId="2" borderId="20" xfId="0" applyNumberFormat="1" applyFont="1" applyFill="1" applyBorder="1"/>
    <xf numFmtId="4" fontId="10" fillId="2" borderId="16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4" fontId="6" fillId="6" borderId="2" xfId="0" applyNumberFormat="1" applyFont="1" applyFill="1" applyBorder="1"/>
    <xf numFmtId="4" fontId="6" fillId="7" borderId="19" xfId="0" applyNumberFormat="1" applyFont="1" applyFill="1" applyBorder="1"/>
    <xf numFmtId="4" fontId="6" fillId="7" borderId="2" xfId="0" applyNumberFormat="1" applyFont="1" applyFill="1" applyBorder="1"/>
    <xf numFmtId="4" fontId="6" fillId="7" borderId="20" xfId="0" applyNumberFormat="1" applyFont="1" applyFill="1" applyBorder="1"/>
    <xf numFmtId="4" fontId="8" fillId="7" borderId="19" xfId="0" applyNumberFormat="1" applyFont="1" applyFill="1" applyBorder="1"/>
    <xf numFmtId="4" fontId="8" fillId="7" borderId="2" xfId="0" applyNumberFormat="1" applyFont="1" applyFill="1" applyBorder="1"/>
    <xf numFmtId="4" fontId="8" fillId="7" borderId="20" xfId="0" applyNumberFormat="1" applyFont="1" applyFill="1" applyBorder="1"/>
    <xf numFmtId="4" fontId="8" fillId="6" borderId="2" xfId="0" applyNumberFormat="1" applyFont="1" applyFill="1" applyBorder="1"/>
    <xf numFmtId="4" fontId="5" fillId="6" borderId="19" xfId="0" applyNumberFormat="1" applyFont="1" applyFill="1" applyBorder="1"/>
    <xf numFmtId="4" fontId="14" fillId="4" borderId="19" xfId="0" applyNumberFormat="1" applyFont="1" applyFill="1" applyBorder="1"/>
    <xf numFmtId="4" fontId="5" fillId="7" borderId="20" xfId="0" applyNumberFormat="1" applyFont="1" applyFill="1" applyBorder="1"/>
    <xf numFmtId="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right"/>
    </xf>
    <xf numFmtId="9" fontId="5" fillId="2" borderId="1" xfId="1" applyFont="1" applyFill="1" applyBorder="1"/>
    <xf numFmtId="4" fontId="5" fillId="2" borderId="12" xfId="0" applyNumberFormat="1" applyFont="1" applyFill="1" applyBorder="1"/>
    <xf numFmtId="4" fontId="5" fillId="2" borderId="13" xfId="0" applyNumberFormat="1" applyFont="1" applyFill="1" applyBorder="1"/>
    <xf numFmtId="4" fontId="5" fillId="2" borderId="14" xfId="0" applyNumberFormat="1" applyFont="1" applyFill="1" applyBorder="1"/>
    <xf numFmtId="0" fontId="5" fillId="2" borderId="15" xfId="0" applyFont="1" applyFill="1" applyBorder="1" applyAlignment="1">
      <alignment horizontal="justify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4" fontId="5" fillId="2" borderId="16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4" fontId="5" fillId="2" borderId="16" xfId="0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4" fontId="6" fillId="5" borderId="19" xfId="0" applyNumberFormat="1" applyFont="1" applyFill="1" applyBorder="1"/>
    <xf numFmtId="0" fontId="4" fillId="4" borderId="2" xfId="0" applyFont="1" applyFill="1" applyBorder="1" applyAlignment="1">
      <alignment horizontal="right" vertical="center" wrapText="1"/>
    </xf>
    <xf numFmtId="0" fontId="4" fillId="4" borderId="20" xfId="0" applyFont="1" applyFill="1" applyBorder="1" applyAlignment="1">
      <alignment horizontal="right" vertical="center" wrapText="1"/>
    </xf>
    <xf numFmtId="4" fontId="5" fillId="7" borderId="11" xfId="0" applyNumberFormat="1" applyFont="1" applyFill="1" applyBorder="1"/>
    <xf numFmtId="0" fontId="6" fillId="5" borderId="19" xfId="0" applyFont="1" applyFill="1" applyBorder="1" applyAlignment="1">
      <alignment horizontal="right" vertical="center" wrapText="1"/>
    </xf>
    <xf numFmtId="9" fontId="5" fillId="2" borderId="16" xfId="1" applyFont="1" applyFill="1" applyBorder="1" applyAlignment="1"/>
    <xf numFmtId="0" fontId="4" fillId="4" borderId="1" xfId="0" applyFont="1" applyFill="1" applyBorder="1" applyAlignment="1">
      <alignment horizontal="right" vertical="center" wrapText="1"/>
    </xf>
    <xf numFmtId="4" fontId="5" fillId="7" borderId="21" xfId="0" applyNumberFormat="1" applyFont="1" applyFill="1" applyBorder="1"/>
    <xf numFmtId="4" fontId="14" fillId="4" borderId="12" xfId="0" applyNumberFormat="1" applyFont="1" applyFill="1" applyBorder="1"/>
    <xf numFmtId="9" fontId="5" fillId="2" borderId="0" xfId="1" applyFont="1" applyFill="1"/>
    <xf numFmtId="3" fontId="5" fillId="2" borderId="0" xfId="0" applyNumberFormat="1" applyFont="1" applyFill="1"/>
    <xf numFmtId="3" fontId="5" fillId="2" borderId="0" xfId="1" applyNumberFormat="1" applyFont="1" applyFill="1" applyBorder="1"/>
    <xf numFmtId="4" fontId="6" fillId="2" borderId="0" xfId="0" applyNumberFormat="1" applyFont="1" applyFill="1" applyBorder="1"/>
    <xf numFmtId="4" fontId="5" fillId="2" borderId="0" xfId="0" applyNumberFormat="1" applyFont="1" applyFill="1" applyAlignment="1">
      <alignment horizontal="right" vertical="center" indent="1"/>
    </xf>
    <xf numFmtId="4" fontId="5" fillId="2" borderId="0" xfId="0" applyNumberFormat="1" applyFont="1" applyFill="1" applyAlignment="1">
      <alignment horizontal="left" indent="2"/>
    </xf>
    <xf numFmtId="10" fontId="5" fillId="2" borderId="14" xfId="1" applyNumberFormat="1" applyFont="1" applyFill="1" applyBorder="1"/>
    <xf numFmtId="4" fontId="5" fillId="7" borderId="12" xfId="0" applyNumberFormat="1" applyFont="1" applyFill="1" applyBorder="1"/>
    <xf numFmtId="10" fontId="5" fillId="2" borderId="20" xfId="1" applyNumberFormat="1" applyFont="1" applyFill="1" applyBorder="1"/>
    <xf numFmtId="3" fontId="5" fillId="2" borderId="16" xfId="0" applyNumberFormat="1" applyFont="1" applyFill="1" applyBorder="1"/>
    <xf numFmtId="3" fontId="6" fillId="6" borderId="2" xfId="0" applyNumberFormat="1" applyFont="1" applyFill="1" applyBorder="1"/>
    <xf numFmtId="3" fontId="6" fillId="6" borderId="20" xfId="0" applyNumberFormat="1" applyFont="1" applyFill="1" applyBorder="1"/>
    <xf numFmtId="3" fontId="14" fillId="2" borderId="0" xfId="0" applyNumberFormat="1" applyFont="1" applyFill="1" applyBorder="1"/>
    <xf numFmtId="4" fontId="4" fillId="4" borderId="18" xfId="0" applyNumberFormat="1" applyFont="1" applyFill="1" applyBorder="1"/>
    <xf numFmtId="4" fontId="4" fillId="4" borderId="1" xfId="0" applyNumberFormat="1" applyFont="1" applyFill="1" applyBorder="1" applyAlignment="1">
      <alignment horizontal="right"/>
    </xf>
    <xf numFmtId="4" fontId="4" fillId="4" borderId="17" xfId="0" applyNumberFormat="1" applyFont="1" applyFill="1" applyBorder="1" applyAlignment="1">
      <alignment horizontal="right"/>
    </xf>
    <xf numFmtId="4" fontId="6" fillId="5" borderId="18" xfId="0" applyNumberFormat="1" applyFont="1" applyFill="1" applyBorder="1"/>
    <xf numFmtId="4" fontId="6" fillId="5" borderId="1" xfId="0" applyNumberFormat="1" applyFont="1" applyFill="1" applyBorder="1" applyAlignment="1">
      <alignment horizontal="right"/>
    </xf>
    <xf numFmtId="4" fontId="6" fillId="5" borderId="17" xfId="0" applyNumberFormat="1" applyFont="1" applyFill="1" applyBorder="1" applyAlignment="1">
      <alignment horizontal="right"/>
    </xf>
    <xf numFmtId="4" fontId="4" fillId="4" borderId="2" xfId="0" applyNumberFormat="1" applyFont="1" applyFill="1" applyBorder="1"/>
    <xf numFmtId="4" fontId="4" fillId="4" borderId="20" xfId="0" applyNumberFormat="1" applyFont="1" applyFill="1" applyBorder="1"/>
    <xf numFmtId="4" fontId="14" fillId="4" borderId="13" xfId="0" applyNumberFormat="1" applyFont="1" applyFill="1" applyBorder="1"/>
    <xf numFmtId="4" fontId="14" fillId="4" borderId="14" xfId="0" applyNumberFormat="1" applyFont="1" applyFill="1" applyBorder="1"/>
    <xf numFmtId="4" fontId="14" fillId="4" borderId="2" xfId="0" applyNumberFormat="1" applyFont="1" applyFill="1" applyBorder="1"/>
    <xf numFmtId="4" fontId="6" fillId="2" borderId="16" xfId="0" applyNumberFormat="1" applyFont="1" applyFill="1" applyBorder="1"/>
    <xf numFmtId="4" fontId="6" fillId="2" borderId="18" xfId="0" applyNumberFormat="1" applyFont="1" applyFill="1" applyBorder="1"/>
    <xf numFmtId="4" fontId="6" fillId="5" borderId="2" xfId="0" applyNumberFormat="1" applyFont="1" applyFill="1" applyBorder="1" applyAlignment="1">
      <alignment horizontal="center"/>
    </xf>
    <xf numFmtId="4" fontId="5" fillId="5" borderId="20" xfId="0" applyNumberFormat="1" applyFont="1" applyFill="1" applyBorder="1"/>
    <xf numFmtId="4" fontId="6" fillId="5" borderId="20" xfId="0" applyNumberFormat="1" applyFont="1" applyFill="1" applyBorder="1" applyAlignment="1">
      <alignment horizontal="center"/>
    </xf>
    <xf numFmtId="4" fontId="5" fillId="5" borderId="19" xfId="0" applyNumberFormat="1" applyFont="1" applyFill="1" applyBorder="1" applyAlignment="1">
      <alignment horizontal="right"/>
    </xf>
    <xf numFmtId="4" fontId="5" fillId="2" borderId="16" xfId="1" applyNumberFormat="1" applyFont="1" applyFill="1" applyBorder="1"/>
    <xf numFmtId="3" fontId="5" fillId="2" borderId="16" xfId="1" applyNumberFormat="1" applyFont="1" applyFill="1" applyBorder="1"/>
    <xf numFmtId="10" fontId="6" fillId="6" borderId="20" xfId="1" applyNumberFormat="1" applyFont="1" applyFill="1" applyBorder="1"/>
    <xf numFmtId="4" fontId="13" fillId="2" borderId="19" xfId="0" applyNumberFormat="1" applyFont="1" applyFill="1" applyBorder="1" applyAlignment="1">
      <alignment horizontal="center"/>
    </xf>
    <xf numFmtId="10" fontId="6" fillId="2" borderId="20" xfId="1" applyNumberFormat="1" applyFont="1" applyFill="1" applyBorder="1"/>
    <xf numFmtId="4" fontId="5" fillId="4" borderId="20" xfId="0" applyNumberFormat="1" applyFont="1" applyFill="1" applyBorder="1"/>
    <xf numFmtId="4" fontId="4" fillId="4" borderId="0" xfId="0" applyNumberFormat="1" applyFont="1" applyFill="1" applyBorder="1" applyAlignment="1">
      <alignment horizontal="center"/>
    </xf>
    <xf numFmtId="4" fontId="14" fillId="4" borderId="0" xfId="0" applyNumberFormat="1" applyFont="1" applyFill="1" applyBorder="1"/>
    <xf numFmtId="10" fontId="5" fillId="2" borderId="0" xfId="1" applyNumberFormat="1" applyFont="1" applyFill="1" applyBorder="1"/>
    <xf numFmtId="4" fontId="4" fillId="4" borderId="12" xfId="0" applyNumberFormat="1" applyFont="1" applyFill="1" applyBorder="1" applyAlignment="1">
      <alignment horizontal="center"/>
    </xf>
    <xf numFmtId="10" fontId="5" fillId="2" borderId="1" xfId="1" applyNumberFormat="1" applyFont="1" applyFill="1" applyBorder="1"/>
    <xf numFmtId="14" fontId="5" fillId="2" borderId="16" xfId="0" applyNumberFormat="1" applyFont="1" applyFill="1" applyBorder="1"/>
    <xf numFmtId="14" fontId="5" fillId="2" borderId="17" xfId="0" applyNumberFormat="1" applyFont="1" applyFill="1" applyBorder="1"/>
    <xf numFmtId="14" fontId="5" fillId="2" borderId="0" xfId="0" applyNumberFormat="1" applyFont="1" applyFill="1" applyBorder="1"/>
    <xf numFmtId="4" fontId="5" fillId="4" borderId="13" xfId="0" applyNumberFormat="1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5" fillId="4" borderId="14" xfId="0" applyFont="1" applyFill="1" applyBorder="1"/>
    <xf numFmtId="0" fontId="5" fillId="2" borderId="16" xfId="0" applyFont="1" applyFill="1" applyBorder="1"/>
    <xf numFmtId="14" fontId="5" fillId="2" borderId="1" xfId="0" applyNumberFormat="1" applyFont="1" applyFill="1" applyBorder="1"/>
    <xf numFmtId="0" fontId="5" fillId="2" borderId="17" xfId="0" applyFont="1" applyFill="1" applyBorder="1"/>
    <xf numFmtId="3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9" fontId="5" fillId="2" borderId="0" xfId="0" applyNumberFormat="1" applyFont="1" applyFill="1" applyBorder="1"/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2" fontId="10" fillId="2" borderId="0" xfId="0" applyNumberFormat="1" applyFont="1" applyFill="1" applyAlignment="1">
      <alignment horizontal="right"/>
    </xf>
    <xf numFmtId="2" fontId="10" fillId="2" borderId="0" xfId="0" applyNumberFormat="1" applyFont="1" applyFill="1" applyAlignment="1">
      <alignment horizontal="left"/>
    </xf>
    <xf numFmtId="0" fontId="6" fillId="2" borderId="0" xfId="0" applyFont="1" applyFill="1" applyAlignment="1"/>
    <xf numFmtId="9" fontId="5" fillId="2" borderId="0" xfId="0" applyNumberFormat="1" applyFont="1" applyFill="1" applyAlignment="1"/>
    <xf numFmtId="4" fontId="14" fillId="2" borderId="0" xfId="0" applyNumberFormat="1" applyFont="1" applyFill="1"/>
    <xf numFmtId="10" fontId="12" fillId="2" borderId="16" xfId="1" applyNumberFormat="1" applyFont="1" applyFill="1" applyBorder="1" applyAlignment="1">
      <alignment horizontal="right"/>
    </xf>
    <xf numFmtId="10" fontId="12" fillId="2" borderId="17" xfId="1" applyNumberFormat="1" applyFont="1" applyFill="1" applyBorder="1" applyAlignment="1">
      <alignment horizontal="right"/>
    </xf>
    <xf numFmtId="4" fontId="4" fillId="4" borderId="20" xfId="0" applyNumberFormat="1" applyFont="1" applyFill="1" applyBorder="1" applyAlignment="1">
      <alignment horizontal="center"/>
    </xf>
    <xf numFmtId="0" fontId="14" fillId="4" borderId="12" xfId="0" applyFont="1" applyFill="1" applyBorder="1"/>
    <xf numFmtId="0" fontId="14" fillId="4" borderId="13" xfId="0" applyFont="1" applyFill="1" applyBorder="1"/>
    <xf numFmtId="0" fontId="14" fillId="4" borderId="14" xfId="0" applyFont="1" applyFill="1" applyBorder="1"/>
    <xf numFmtId="4" fontId="14" fillId="4" borderId="15" xfId="0" applyNumberFormat="1" applyFont="1" applyFill="1" applyBorder="1"/>
    <xf numFmtId="4" fontId="14" fillId="4" borderId="16" xfId="0" applyNumberFormat="1" applyFont="1" applyFill="1" applyBorder="1"/>
    <xf numFmtId="0" fontId="5" fillId="2" borderId="15" xfId="0" applyFont="1" applyFill="1" applyBorder="1"/>
    <xf numFmtId="3" fontId="5" fillId="2" borderId="16" xfId="0" applyNumberFormat="1" applyFont="1" applyFill="1" applyBorder="1" applyAlignment="1">
      <alignment horizontal="right"/>
    </xf>
    <xf numFmtId="9" fontId="5" fillId="2" borderId="16" xfId="0" applyNumberFormat="1" applyFont="1" applyFill="1" applyBorder="1" applyAlignment="1"/>
    <xf numFmtId="0" fontId="5" fillId="2" borderId="18" xfId="0" applyFont="1" applyFill="1" applyBorder="1"/>
    <xf numFmtId="0" fontId="5" fillId="2" borderId="1" xfId="0" applyFont="1" applyFill="1" applyBorder="1"/>
    <xf numFmtId="4" fontId="5" fillId="7" borderId="2" xfId="0" applyNumberFormat="1" applyFont="1" applyFill="1" applyBorder="1"/>
    <xf numFmtId="0" fontId="4" fillId="4" borderId="17" xfId="0" applyFont="1" applyFill="1" applyBorder="1" applyAlignment="1">
      <alignment horizontal="right" vertical="center" wrapText="1"/>
    </xf>
    <xf numFmtId="4" fontId="5" fillId="4" borderId="2" xfId="0" applyNumberFormat="1" applyFont="1" applyFill="1" applyBorder="1"/>
    <xf numFmtId="0" fontId="6" fillId="6" borderId="19" xfId="0" applyFont="1" applyFill="1" applyBorder="1"/>
    <xf numFmtId="0" fontId="6" fillId="6" borderId="20" xfId="0" applyFont="1" applyFill="1" applyBorder="1"/>
    <xf numFmtId="4" fontId="6" fillId="2" borderId="14" xfId="0" applyNumberFormat="1" applyFont="1" applyFill="1" applyBorder="1"/>
    <xf numFmtId="4" fontId="5" fillId="7" borderId="15" xfId="0" applyNumberFormat="1" applyFont="1" applyFill="1" applyBorder="1"/>
    <xf numFmtId="0" fontId="5" fillId="7" borderId="20" xfId="0" applyFont="1" applyFill="1" applyBorder="1"/>
    <xf numFmtId="9" fontId="5" fillId="2" borderId="14" xfId="1" applyFont="1" applyFill="1" applyBorder="1"/>
    <xf numFmtId="9" fontId="5" fillId="2" borderId="17" xfId="1" applyFont="1" applyFill="1" applyBorder="1"/>
    <xf numFmtId="4" fontId="5" fillId="7" borderId="12" xfId="0" applyNumberFormat="1" applyFont="1" applyFill="1" applyBorder="1" applyAlignment="1">
      <alignment horizontal="center"/>
    </xf>
    <xf numFmtId="4" fontId="5" fillId="7" borderId="15" xfId="0" applyNumberFormat="1" applyFont="1" applyFill="1" applyBorder="1" applyAlignment="1">
      <alignment horizontal="center"/>
    </xf>
    <xf numFmtId="4" fontId="5" fillId="7" borderId="18" xfId="0" applyNumberFormat="1" applyFont="1" applyFill="1" applyBorder="1" applyAlignment="1">
      <alignment horizontal="center"/>
    </xf>
    <xf numFmtId="4" fontId="10" fillId="2" borderId="18" xfId="0" applyNumberFormat="1" applyFont="1" applyFill="1" applyBorder="1"/>
    <xf numFmtId="0" fontId="0" fillId="2" borderId="0" xfId="0" applyFill="1" applyBorder="1"/>
    <xf numFmtId="0" fontId="0" fillId="3" borderId="0" xfId="0" applyFill="1" applyBorder="1"/>
    <xf numFmtId="0" fontId="0" fillId="7" borderId="0" xfId="0" applyFont="1" applyFill="1" applyBorder="1"/>
    <xf numFmtId="0" fontId="24" fillId="3" borderId="0" xfId="0" applyFont="1" applyFill="1" applyBorder="1" applyAlignment="1">
      <alignment vertical="center"/>
    </xf>
    <xf numFmtId="0" fontId="0" fillId="2" borderId="0" xfId="0" applyFill="1"/>
    <xf numFmtId="4" fontId="6" fillId="7" borderId="11" xfId="0" applyNumberFormat="1" applyFont="1" applyFill="1" applyBorder="1"/>
    <xf numFmtId="4" fontId="6" fillId="8" borderId="2" xfId="0" applyNumberFormat="1" applyFont="1" applyFill="1" applyBorder="1"/>
    <xf numFmtId="0" fontId="5" fillId="0" borderId="0" xfId="0" applyFont="1" applyAlignment="1">
      <alignment vertical="center"/>
    </xf>
    <xf numFmtId="0" fontId="24" fillId="2" borderId="0" xfId="0" applyFont="1" applyFill="1"/>
    <xf numFmtId="4" fontId="6" fillId="8" borderId="19" xfId="0" applyNumberFormat="1" applyFont="1" applyFill="1" applyBorder="1"/>
    <xf numFmtId="4" fontId="6" fillId="8" borderId="20" xfId="0" applyNumberFormat="1" applyFont="1" applyFill="1" applyBorder="1"/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4" fillId="7" borderId="0" xfId="2" applyFont="1" applyFill="1" applyBorder="1" applyAlignment="1">
      <alignment horizontal="left" vertical="center"/>
    </xf>
    <xf numFmtId="0" fontId="23" fillId="7" borderId="0" xfId="2" applyFont="1" applyFill="1" applyBorder="1" applyAlignment="1">
      <alignment horizontal="left" vertical="center"/>
    </xf>
    <xf numFmtId="4" fontId="4" fillId="3" borderId="0" xfId="0" applyNumberFormat="1" applyFont="1" applyFill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/>
    </xf>
    <xf numFmtId="4" fontId="4" fillId="4" borderId="14" xfId="0" applyNumberFormat="1" applyFont="1" applyFill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16" xfId="0" applyNumberFormat="1" applyFont="1" applyFill="1" applyBorder="1" applyAlignment="1">
      <alignment horizontal="center" vertical="center"/>
    </xf>
    <xf numFmtId="9" fontId="5" fillId="2" borderId="0" xfId="1" applyFont="1" applyFill="1" applyBorder="1" applyAlignment="1">
      <alignment horizontal="center"/>
    </xf>
    <xf numFmtId="9" fontId="5" fillId="2" borderId="16" xfId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/>
    </xf>
    <xf numFmtId="4" fontId="5" fillId="2" borderId="16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4" fontId="4" fillId="4" borderId="15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4" fillId="4" borderId="16" xfId="0" applyNumberFormat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2" name="AutoShape 2" descr="Editorial UPC - Universidad Peruana de Ciencias Aplicadas">
          <a:extLst>
            <a:ext uri="{FF2B5EF4-FFF2-40B4-BE49-F238E27FC236}">
              <a16:creationId xmlns:a16="http://schemas.microsoft.com/office/drawing/2014/main" id="{17245CF2-7E31-4461-803D-57E1C6CB8C28}"/>
            </a:ext>
          </a:extLst>
        </xdr:cNvPr>
        <xdr:cNvSpPr>
          <a:spLocks noChangeAspect="1" noChangeArrowheads="1"/>
        </xdr:cNvSpPr>
      </xdr:nvSpPr>
      <xdr:spPr bwMode="auto">
        <a:xfrm>
          <a:off x="6537960" y="162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7619</xdr:colOff>
      <xdr:row>0</xdr:row>
      <xdr:rowOff>21518</xdr:rowOff>
    </xdr:from>
    <xdr:to>
      <xdr:col>3</xdr:col>
      <xdr:colOff>259080</xdr:colOff>
      <xdr:row>2</xdr:row>
      <xdr:rowOff>12191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EA45C65-1A43-4BA0-8F25-C282CA023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21518"/>
          <a:ext cx="2057401" cy="516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123152</xdr:colOff>
      <xdr:row>2</xdr:row>
      <xdr:rowOff>111145</xdr:rowOff>
    </xdr:from>
    <xdr:to>
      <xdr:col>0</xdr:col>
      <xdr:colOff>1190722</xdr:colOff>
      <xdr:row>4</xdr:row>
      <xdr:rowOff>50185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5CC96-2DD3-4BF0-B0B6-19D895443A0F}"/>
            </a:ext>
          </a:extLst>
        </xdr:cNvPr>
        <xdr:cNvSpPr/>
      </xdr:nvSpPr>
      <xdr:spPr>
        <a:xfrm>
          <a:off x="123152" y="446425"/>
          <a:ext cx="106757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1500339</xdr:colOff>
      <xdr:row>2</xdr:row>
      <xdr:rowOff>18058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615B1C0-51F2-4225-9C0D-E225CA7F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6</xdr:col>
      <xdr:colOff>487680</xdr:colOff>
      <xdr:row>23</xdr:row>
      <xdr:rowOff>100965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921E77-7F85-414A-9ACA-7302AFDB6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95475" y="666750"/>
          <a:ext cx="4297680" cy="3177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14287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E20DA74-AC30-452A-9D69-B1F3E6AB65FB}"/>
            </a:ext>
          </a:extLst>
        </xdr:cNvPr>
        <xdr:cNvSpPr txBox="1"/>
      </xdr:nvSpPr>
      <xdr:spPr>
        <a:xfrm>
          <a:off x="4981575" y="6567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</xdr:col>
      <xdr:colOff>47625</xdr:colOff>
      <xdr:row>42</xdr:row>
      <xdr:rowOff>14287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52DBCB5-BC83-425D-86B0-BDFFDB8A9DBA}"/>
            </a:ext>
          </a:extLst>
        </xdr:cNvPr>
        <xdr:cNvSpPr txBox="1"/>
      </xdr:nvSpPr>
      <xdr:spPr>
        <a:xfrm>
          <a:off x="4981575" y="6567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</xdr:col>
      <xdr:colOff>47625</xdr:colOff>
      <xdr:row>40</xdr:row>
      <xdr:rowOff>14287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49FF8304-8626-4B3D-B4B8-AA8606C801BF}"/>
            </a:ext>
          </a:extLst>
        </xdr:cNvPr>
        <xdr:cNvSpPr txBox="1"/>
      </xdr:nvSpPr>
      <xdr:spPr>
        <a:xfrm>
          <a:off x="533400" y="5681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</xdr:col>
      <xdr:colOff>47625</xdr:colOff>
      <xdr:row>41</xdr:row>
      <xdr:rowOff>14287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A1BC72FB-1999-40C9-A3A2-33FEBC5D4474}"/>
            </a:ext>
          </a:extLst>
        </xdr:cNvPr>
        <xdr:cNvSpPr txBox="1"/>
      </xdr:nvSpPr>
      <xdr:spPr>
        <a:xfrm>
          <a:off x="533400" y="5719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twoCellAnchor>
    <xdr:from>
      <xdr:col>0</xdr:col>
      <xdr:colOff>123152</xdr:colOff>
      <xdr:row>2</xdr:row>
      <xdr:rowOff>23861</xdr:rowOff>
    </xdr:from>
    <xdr:to>
      <xdr:col>0</xdr:col>
      <xdr:colOff>1190722</xdr:colOff>
      <xdr:row>3</xdr:row>
      <xdr:rowOff>118072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3C17A-3B21-48FE-A38B-A95C6A094C0C}"/>
            </a:ext>
          </a:extLst>
        </xdr:cNvPr>
        <xdr:cNvSpPr/>
      </xdr:nvSpPr>
      <xdr:spPr>
        <a:xfrm>
          <a:off x="123152" y="446425"/>
          <a:ext cx="106757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1500339</xdr:colOff>
      <xdr:row>1</xdr:row>
      <xdr:rowOff>127769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9A73B63-670E-4F48-8964-6AA6E8C95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212322</xdr:colOff>
      <xdr:row>2</xdr:row>
      <xdr:rowOff>16787</xdr:rowOff>
    </xdr:from>
    <xdr:to>
      <xdr:col>0</xdr:col>
      <xdr:colOff>1279892</xdr:colOff>
      <xdr:row>3</xdr:row>
      <xdr:rowOff>104660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FF6C9-3638-4CA5-B9CB-748E410D71B6}"/>
            </a:ext>
          </a:extLst>
        </xdr:cNvPr>
        <xdr:cNvSpPr/>
      </xdr:nvSpPr>
      <xdr:spPr>
        <a:xfrm>
          <a:off x="212322" y="446425"/>
          <a:ext cx="106757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89170</xdr:colOff>
      <xdr:row>0</xdr:row>
      <xdr:rowOff>0</xdr:rowOff>
    </xdr:from>
    <xdr:to>
      <xdr:col>0</xdr:col>
      <xdr:colOff>1589509</xdr:colOff>
      <xdr:row>1</xdr:row>
      <xdr:rowOff>125853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F740E17-97EF-46CA-BE0F-1C956BCC3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70" y="0"/>
          <a:ext cx="1500339" cy="3771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6</xdr:row>
      <xdr:rowOff>14287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38A43AD-5CED-4FF6-88CB-2BEA6500D453}"/>
            </a:ext>
          </a:extLst>
        </xdr:cNvPr>
        <xdr:cNvSpPr txBox="1"/>
      </xdr:nvSpPr>
      <xdr:spPr>
        <a:xfrm>
          <a:off x="533400" y="65293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</xdr:col>
      <xdr:colOff>47625</xdr:colOff>
      <xdr:row>5</xdr:row>
      <xdr:rowOff>14287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F937AED-E702-4939-BB1B-AAFDA50EA12C}"/>
            </a:ext>
          </a:extLst>
        </xdr:cNvPr>
        <xdr:cNvSpPr txBox="1"/>
      </xdr:nvSpPr>
      <xdr:spPr>
        <a:xfrm>
          <a:off x="533400" y="6167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</xdr:col>
      <xdr:colOff>47625</xdr:colOff>
      <xdr:row>6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5A029B2-007A-4846-9F82-E349F15C75A2}"/>
            </a:ext>
          </a:extLst>
        </xdr:cNvPr>
        <xdr:cNvSpPr txBox="1"/>
      </xdr:nvSpPr>
      <xdr:spPr>
        <a:xfrm>
          <a:off x="533400" y="63293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twoCellAnchor>
    <xdr:from>
      <xdr:col>0</xdr:col>
      <xdr:colOff>146012</xdr:colOff>
      <xdr:row>2</xdr:row>
      <xdr:rowOff>19705</xdr:rowOff>
    </xdr:from>
    <xdr:to>
      <xdr:col>0</xdr:col>
      <xdr:colOff>1213582</xdr:colOff>
      <xdr:row>3</xdr:row>
      <xdr:rowOff>118765</xdr:rowOff>
    </xdr:to>
    <xdr:sp macro="" textlink="">
      <xdr:nvSpPr>
        <xdr:cNvPr id="7" name="Rectángulo: esquinas redondeada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A96107-BAE2-4291-8B8D-1BB53F4D9960}"/>
            </a:ext>
          </a:extLst>
        </xdr:cNvPr>
        <xdr:cNvSpPr/>
      </xdr:nvSpPr>
      <xdr:spPr>
        <a:xfrm>
          <a:off x="146012" y="446425"/>
          <a:ext cx="106757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22860</xdr:colOff>
      <xdr:row>0</xdr:row>
      <xdr:rowOff>0</xdr:rowOff>
    </xdr:from>
    <xdr:to>
      <xdr:col>0</xdr:col>
      <xdr:colOff>1523199</xdr:colOff>
      <xdr:row>1</xdr:row>
      <xdr:rowOff>125691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DA0417B-4B3B-4BCF-9FFF-307BB0876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" y="0"/>
          <a:ext cx="1500339" cy="37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1676401</xdr:colOff>
      <xdr:row>32</xdr:row>
      <xdr:rowOff>19050</xdr:rowOff>
    </xdr:from>
    <xdr:ext cx="30158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3CE89654-056A-4BED-AD24-5A8A45A706F0}"/>
                </a:ext>
              </a:extLst>
            </xdr:cNvPr>
            <xdr:cNvSpPr txBox="1"/>
          </xdr:nvSpPr>
          <xdr:spPr>
            <a:xfrm>
              <a:off x="1676401" y="5915025"/>
              <a:ext cx="3015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3CE89654-056A-4BED-AD24-5A8A45A706F0}"/>
                </a:ext>
              </a:extLst>
            </xdr:cNvPr>
            <xdr:cNvSpPr txBox="1"/>
          </xdr:nvSpPr>
          <xdr:spPr>
            <a:xfrm>
              <a:off x="1676401" y="5915025"/>
              <a:ext cx="3015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0</xdr:col>
      <xdr:colOff>1685926</xdr:colOff>
      <xdr:row>90</xdr:row>
      <xdr:rowOff>9525</xdr:rowOff>
    </xdr:from>
    <xdr:ext cx="30158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A027EE1-1B03-4275-959E-6F145A036B9A}"/>
                </a:ext>
              </a:extLst>
            </xdr:cNvPr>
            <xdr:cNvSpPr txBox="1"/>
          </xdr:nvSpPr>
          <xdr:spPr>
            <a:xfrm>
              <a:off x="1685926" y="16402050"/>
              <a:ext cx="3015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A027EE1-1B03-4275-959E-6F145A036B9A}"/>
                </a:ext>
              </a:extLst>
            </xdr:cNvPr>
            <xdr:cNvSpPr txBox="1"/>
          </xdr:nvSpPr>
          <xdr:spPr>
            <a:xfrm>
              <a:off x="1685926" y="16402050"/>
              <a:ext cx="3015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47625</xdr:colOff>
      <xdr:row>6</xdr:row>
      <xdr:rowOff>14287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24307A3-7441-4B9F-AE82-AA59ADF78C45}"/>
            </a:ext>
          </a:extLst>
        </xdr:cNvPr>
        <xdr:cNvSpPr txBox="1"/>
      </xdr:nvSpPr>
      <xdr:spPr>
        <a:xfrm>
          <a:off x="533400" y="65293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</xdr:col>
      <xdr:colOff>47625</xdr:colOff>
      <xdr:row>5</xdr:row>
      <xdr:rowOff>14287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5E8AE5C-504E-4D52-A91F-1752E4B3AF95}"/>
            </a:ext>
          </a:extLst>
        </xdr:cNvPr>
        <xdr:cNvSpPr txBox="1"/>
      </xdr:nvSpPr>
      <xdr:spPr>
        <a:xfrm>
          <a:off x="533400" y="6167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</xdr:col>
      <xdr:colOff>47625</xdr:colOff>
      <xdr:row>6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62D58D9-99E4-471C-9FB8-7E8D78E03F87}"/>
            </a:ext>
          </a:extLst>
        </xdr:cNvPr>
        <xdr:cNvSpPr txBox="1"/>
      </xdr:nvSpPr>
      <xdr:spPr>
        <a:xfrm>
          <a:off x="533400" y="63293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twoCellAnchor>
    <xdr:from>
      <xdr:col>0</xdr:col>
      <xdr:colOff>199352</xdr:colOff>
      <xdr:row>2</xdr:row>
      <xdr:rowOff>34945</xdr:rowOff>
    </xdr:from>
    <xdr:to>
      <xdr:col>0</xdr:col>
      <xdr:colOff>1266922</xdr:colOff>
      <xdr:row>3</xdr:row>
      <xdr:rowOff>134005</xdr:rowOff>
    </xdr:to>
    <xdr:sp macro="" textlink="">
      <xdr:nvSpPr>
        <xdr:cNvPr id="12" name="Rectángulo: esquinas redondeadas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7F8E1-1F37-4745-B197-218CED543DFA}"/>
            </a:ext>
          </a:extLst>
        </xdr:cNvPr>
        <xdr:cNvSpPr/>
      </xdr:nvSpPr>
      <xdr:spPr>
        <a:xfrm>
          <a:off x="199352" y="461665"/>
          <a:ext cx="106757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15240</xdr:rowOff>
    </xdr:from>
    <xdr:to>
      <xdr:col>0</xdr:col>
      <xdr:colOff>1576539</xdr:colOff>
      <xdr:row>1</xdr:row>
      <xdr:rowOff>140931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97E2D1B-D973-4C98-B792-310439BD1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5240"/>
          <a:ext cx="1500339" cy="3771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266701</xdr:colOff>
      <xdr:row>9</xdr:row>
      <xdr:rowOff>9525</xdr:rowOff>
    </xdr:from>
    <xdr:ext cx="30158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4E798CC-AEA4-4069-9476-C7673F247222}"/>
                </a:ext>
              </a:extLst>
            </xdr:cNvPr>
            <xdr:cNvSpPr txBox="1"/>
          </xdr:nvSpPr>
          <xdr:spPr>
            <a:xfrm>
              <a:off x="266701" y="819150"/>
              <a:ext cx="3015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4E798CC-AEA4-4069-9476-C7673F247222}"/>
                </a:ext>
              </a:extLst>
            </xdr:cNvPr>
            <xdr:cNvSpPr txBox="1"/>
          </xdr:nvSpPr>
          <xdr:spPr>
            <a:xfrm>
              <a:off x="266701" y="819150"/>
              <a:ext cx="30158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47625</xdr:colOff>
      <xdr:row>22</xdr:row>
      <xdr:rowOff>14287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B61619F-A177-4410-BC99-83A7BF0A88B8}"/>
            </a:ext>
          </a:extLst>
        </xdr:cNvPr>
        <xdr:cNvSpPr txBox="1"/>
      </xdr:nvSpPr>
      <xdr:spPr>
        <a:xfrm>
          <a:off x="533400" y="6167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2</xdr:col>
      <xdr:colOff>47625</xdr:colOff>
      <xdr:row>23</xdr:row>
      <xdr:rowOff>14287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16D3E2E-C00B-4BA0-86D3-F9DF77F0F8A3}"/>
            </a:ext>
          </a:extLst>
        </xdr:cNvPr>
        <xdr:cNvSpPr txBox="1"/>
      </xdr:nvSpPr>
      <xdr:spPr>
        <a:xfrm>
          <a:off x="533400" y="63293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2</xdr:col>
      <xdr:colOff>47625</xdr:colOff>
      <xdr:row>36</xdr:row>
      <xdr:rowOff>14287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B6E0A0B-5C69-4893-AEB6-E617F94EA9F3}"/>
            </a:ext>
          </a:extLst>
        </xdr:cNvPr>
        <xdr:cNvSpPr txBox="1"/>
      </xdr:nvSpPr>
      <xdr:spPr>
        <a:xfrm>
          <a:off x="533400" y="65293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2</xdr:col>
      <xdr:colOff>47625</xdr:colOff>
      <xdr:row>34</xdr:row>
      <xdr:rowOff>14287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A42FB3A5-B0AD-4CAD-A6AE-91483567A9FA}"/>
            </a:ext>
          </a:extLst>
        </xdr:cNvPr>
        <xdr:cNvSpPr txBox="1"/>
      </xdr:nvSpPr>
      <xdr:spPr>
        <a:xfrm>
          <a:off x="533400" y="6167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2</xdr:col>
      <xdr:colOff>47625</xdr:colOff>
      <xdr:row>35</xdr:row>
      <xdr:rowOff>14287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0C7D6F8-2365-4231-9952-66FD5033ACA7}"/>
            </a:ext>
          </a:extLst>
        </xdr:cNvPr>
        <xdr:cNvSpPr txBox="1"/>
      </xdr:nvSpPr>
      <xdr:spPr>
        <a:xfrm>
          <a:off x="533400" y="63293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twoCellAnchor editAs="oneCell">
    <xdr:from>
      <xdr:col>17</xdr:col>
      <xdr:colOff>0</xdr:colOff>
      <xdr:row>57</xdr:row>
      <xdr:rowOff>0</xdr:rowOff>
    </xdr:from>
    <xdr:to>
      <xdr:col>24</xdr:col>
      <xdr:colOff>66675</xdr:colOff>
      <xdr:row>57</xdr:row>
      <xdr:rowOff>167640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046D434-6F40-4E56-8475-1082DC28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8724900"/>
          <a:ext cx="54006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123152</xdr:colOff>
      <xdr:row>2</xdr:row>
      <xdr:rowOff>19705</xdr:rowOff>
    </xdr:from>
    <xdr:to>
      <xdr:col>0</xdr:col>
      <xdr:colOff>1190722</xdr:colOff>
      <xdr:row>3</xdr:row>
      <xdr:rowOff>118765</xdr:rowOff>
    </xdr:to>
    <xdr:sp macro="" textlink="">
      <xdr:nvSpPr>
        <xdr:cNvPr id="12" name="Rectángulo: esquinas redondeada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CBDF2D-C465-4621-8E55-A8E1F035A1F2}"/>
            </a:ext>
          </a:extLst>
        </xdr:cNvPr>
        <xdr:cNvSpPr/>
      </xdr:nvSpPr>
      <xdr:spPr>
        <a:xfrm>
          <a:off x="123152" y="446425"/>
          <a:ext cx="106757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105879</xdr:colOff>
      <xdr:row>1</xdr:row>
      <xdr:rowOff>125691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B80BCFF-EC0E-4554-95FB-EC49D4FE2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VPN@11.28%25" TargetMode="External"/><Relationship Id="rId1" Type="http://schemas.openxmlformats.org/officeDocument/2006/relationships/hyperlink" Target="mailto:VPN@8.71%25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PN@7.86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tabSelected="1" zoomScaleNormal="100" workbookViewId="0"/>
  </sheetViews>
  <sheetFormatPr baseColWidth="10" defaultColWidth="11.5546875" defaultRowHeight="14.4" x14ac:dyDescent="0.3"/>
  <cols>
    <col min="1" max="1" width="11.5546875" style="186"/>
    <col min="2" max="2" width="14.6640625" style="186" customWidth="1"/>
    <col min="3" max="7" width="11.5546875" style="186"/>
    <col min="8" max="8" width="14.6640625" style="186" customWidth="1"/>
    <col min="9" max="16384" width="11.5546875" style="186"/>
  </cols>
  <sheetData>
    <row r="1" spans="2:9" x14ac:dyDescent="0.3">
      <c r="B1" s="187"/>
      <c r="C1" s="187"/>
      <c r="D1" s="187"/>
      <c r="E1" s="187"/>
      <c r="F1" s="187"/>
      <c r="G1" s="187"/>
      <c r="H1" s="187"/>
    </row>
    <row r="2" spans="2:9" ht="19.95" customHeight="1" x14ac:dyDescent="0.3">
      <c r="B2" s="187"/>
      <c r="C2" s="187"/>
      <c r="D2" s="187"/>
      <c r="E2" s="187"/>
      <c r="F2" s="187"/>
      <c r="G2" s="187"/>
      <c r="H2" s="187"/>
    </row>
    <row r="3" spans="2:9" ht="24" customHeight="1" x14ac:dyDescent="0.3">
      <c r="B3" s="187"/>
      <c r="C3" s="197" t="s">
        <v>259</v>
      </c>
      <c r="D3" s="198"/>
      <c r="E3" s="198"/>
      <c r="F3" s="198"/>
      <c r="G3" s="198"/>
      <c r="H3" s="187"/>
    </row>
    <row r="4" spans="2:9" ht="27" customHeight="1" x14ac:dyDescent="0.3">
      <c r="B4" s="199" t="s">
        <v>260</v>
      </c>
      <c r="C4" s="199"/>
      <c r="D4" s="199"/>
      <c r="E4" s="199"/>
      <c r="F4" s="199"/>
      <c r="G4" s="199"/>
      <c r="H4" s="199"/>
    </row>
    <row r="5" spans="2:9" ht="13.2" customHeight="1" x14ac:dyDescent="0.3">
      <c r="B5" s="200" t="s">
        <v>261</v>
      </c>
      <c r="C5" s="200"/>
      <c r="D5" s="200"/>
      <c r="E5" s="200"/>
      <c r="F5" s="200"/>
      <c r="G5" s="200"/>
      <c r="H5" s="200"/>
    </row>
    <row r="6" spans="2:9" ht="7.95" customHeight="1" x14ac:dyDescent="0.3">
      <c r="B6" s="200"/>
      <c r="C6" s="200"/>
      <c r="D6" s="200"/>
      <c r="E6" s="200"/>
      <c r="F6" s="200"/>
      <c r="G6" s="200"/>
      <c r="H6" s="200"/>
    </row>
    <row r="7" spans="2:9" ht="7.2" customHeight="1" x14ac:dyDescent="0.3">
      <c r="B7" s="188"/>
      <c r="C7" s="201" t="s">
        <v>262</v>
      </c>
      <c r="D7" s="201"/>
      <c r="E7" s="201"/>
      <c r="F7" s="201"/>
      <c r="G7" s="201"/>
      <c r="H7" s="188"/>
    </row>
    <row r="8" spans="2:9" ht="7.2" customHeight="1" x14ac:dyDescent="0.3">
      <c r="B8" s="188"/>
      <c r="C8" s="201"/>
      <c r="D8" s="201"/>
      <c r="E8" s="201"/>
      <c r="F8" s="201"/>
      <c r="G8" s="201"/>
      <c r="H8" s="188"/>
    </row>
    <row r="9" spans="2:9" ht="7.2" customHeight="1" x14ac:dyDescent="0.3">
      <c r="B9" s="188"/>
      <c r="C9" s="201"/>
      <c r="D9" s="201"/>
      <c r="E9" s="201"/>
      <c r="F9" s="201"/>
      <c r="G9" s="201"/>
      <c r="H9" s="188"/>
    </row>
    <row r="10" spans="2:9" ht="13.2" customHeight="1" x14ac:dyDescent="0.3">
      <c r="B10" s="187"/>
      <c r="C10" s="187"/>
      <c r="D10" s="187"/>
      <c r="E10" s="187"/>
      <c r="F10" s="187"/>
      <c r="G10" s="187"/>
      <c r="H10" s="187"/>
    </row>
    <row r="11" spans="2:9" x14ac:dyDescent="0.3">
      <c r="B11" s="187"/>
      <c r="C11" s="203" t="s">
        <v>253</v>
      </c>
      <c r="D11" s="203"/>
      <c r="E11" s="203"/>
      <c r="F11" s="203"/>
      <c r="G11" s="203"/>
      <c r="H11" s="187"/>
    </row>
    <row r="12" spans="2:9" ht="9" customHeight="1" x14ac:dyDescent="0.3">
      <c r="B12" s="187"/>
      <c r="C12" s="189"/>
      <c r="D12" s="189"/>
      <c r="E12" s="189"/>
      <c r="F12" s="189"/>
      <c r="G12" s="189"/>
      <c r="H12" s="187"/>
    </row>
    <row r="13" spans="2:9" x14ac:dyDescent="0.3">
      <c r="B13" s="187"/>
      <c r="C13" s="203" t="s">
        <v>254</v>
      </c>
      <c r="D13" s="203"/>
      <c r="E13" s="203"/>
      <c r="F13" s="203"/>
      <c r="G13" s="203"/>
      <c r="H13" s="187"/>
    </row>
    <row r="14" spans="2:9" ht="9" customHeight="1" x14ac:dyDescent="0.3">
      <c r="B14" s="187"/>
      <c r="C14" s="189"/>
      <c r="D14" s="189"/>
      <c r="E14" s="189"/>
      <c r="F14" s="189"/>
      <c r="G14" s="189"/>
      <c r="H14" s="187"/>
    </row>
    <row r="15" spans="2:9" x14ac:dyDescent="0.3">
      <c r="B15" s="187"/>
      <c r="C15" s="203" t="s">
        <v>255</v>
      </c>
      <c r="D15" s="203"/>
      <c r="E15" s="203"/>
      <c r="F15" s="203"/>
      <c r="G15" s="203"/>
      <c r="H15" s="187"/>
      <c r="I15" s="190"/>
    </row>
    <row r="16" spans="2:9" ht="9" customHeight="1" x14ac:dyDescent="0.3">
      <c r="B16" s="187"/>
      <c r="C16" s="189"/>
      <c r="D16" s="189"/>
      <c r="E16" s="189"/>
      <c r="F16" s="189"/>
      <c r="G16" s="189"/>
      <c r="H16" s="187"/>
    </row>
    <row r="17" spans="2:8" x14ac:dyDescent="0.3">
      <c r="B17" s="187"/>
      <c r="C17" s="202" t="s">
        <v>256</v>
      </c>
      <c r="D17" s="202"/>
      <c r="E17" s="202"/>
      <c r="F17" s="202"/>
      <c r="G17" s="202"/>
      <c r="H17" s="187"/>
    </row>
    <row r="18" spans="2:8" ht="9" customHeight="1" x14ac:dyDescent="0.3">
      <c r="B18" s="187"/>
      <c r="C18" s="189"/>
      <c r="D18" s="189"/>
      <c r="E18" s="189"/>
      <c r="F18" s="189"/>
      <c r="G18" s="189"/>
      <c r="H18" s="187"/>
    </row>
    <row r="19" spans="2:8" x14ac:dyDescent="0.3">
      <c r="B19" s="187"/>
      <c r="C19" s="202" t="s">
        <v>257</v>
      </c>
      <c r="D19" s="202"/>
      <c r="E19" s="202"/>
      <c r="F19" s="202"/>
      <c r="G19" s="202"/>
      <c r="H19" s="187"/>
    </row>
    <row r="20" spans="2:8" ht="9" customHeight="1" x14ac:dyDescent="0.3">
      <c r="B20" s="187"/>
      <c r="C20" s="189"/>
      <c r="D20" s="189"/>
      <c r="E20" s="189"/>
      <c r="F20" s="189"/>
      <c r="G20" s="189"/>
      <c r="H20" s="187"/>
    </row>
    <row r="21" spans="2:8" x14ac:dyDescent="0.3">
      <c r="B21" s="187"/>
      <c r="C21" s="202" t="s">
        <v>258</v>
      </c>
      <c r="D21" s="202"/>
      <c r="E21" s="202"/>
      <c r="F21" s="202"/>
      <c r="G21" s="202"/>
      <c r="H21" s="187"/>
    </row>
    <row r="22" spans="2:8" ht="9" customHeight="1" x14ac:dyDescent="0.3">
      <c r="B22" s="187"/>
      <c r="C22" s="189"/>
      <c r="D22" s="189"/>
      <c r="E22" s="189"/>
      <c r="F22" s="189"/>
      <c r="G22" s="189"/>
      <c r="H22" s="187"/>
    </row>
    <row r="23" spans="2:8" x14ac:dyDescent="0.3">
      <c r="B23" s="187"/>
      <c r="C23" s="187"/>
      <c r="D23" s="187"/>
      <c r="E23" s="187"/>
      <c r="F23" s="187"/>
      <c r="G23" s="187"/>
      <c r="H23" s="187"/>
    </row>
    <row r="24" spans="2:8" x14ac:dyDescent="0.3">
      <c r="B24" s="187"/>
      <c r="C24" s="187"/>
      <c r="D24" s="187"/>
      <c r="E24" s="187"/>
      <c r="F24" s="187"/>
      <c r="G24" s="187"/>
      <c r="H24" s="187"/>
    </row>
    <row r="25" spans="2:8" x14ac:dyDescent="0.3">
      <c r="B25" s="187"/>
      <c r="C25" s="187"/>
      <c r="D25" s="187"/>
      <c r="E25" s="187"/>
      <c r="F25" s="187"/>
      <c r="G25" s="187"/>
      <c r="H25" s="187"/>
    </row>
    <row r="26" spans="2:8" x14ac:dyDescent="0.3">
      <c r="B26" s="187"/>
      <c r="C26" s="187"/>
      <c r="D26" s="187"/>
      <c r="E26" s="187"/>
      <c r="F26" s="187"/>
      <c r="G26" s="187"/>
      <c r="H26" s="187"/>
    </row>
    <row r="27" spans="2:8" x14ac:dyDescent="0.3">
      <c r="B27" s="187"/>
      <c r="C27" s="187"/>
      <c r="D27" s="187"/>
      <c r="E27" s="187"/>
      <c r="F27" s="187"/>
      <c r="G27" s="187"/>
      <c r="H27" s="187"/>
    </row>
    <row r="28" spans="2:8" x14ac:dyDescent="0.3">
      <c r="B28" s="187"/>
      <c r="C28" s="187"/>
      <c r="D28" s="187"/>
      <c r="E28" s="187"/>
      <c r="F28" s="187"/>
      <c r="G28" s="187"/>
      <c r="H28" s="187"/>
    </row>
    <row r="29" spans="2:8" x14ac:dyDescent="0.3">
      <c r="B29" s="187"/>
      <c r="C29" s="187"/>
      <c r="D29" s="187"/>
      <c r="E29" s="187"/>
      <c r="F29" s="187"/>
      <c r="G29" s="187"/>
      <c r="H29" s="187"/>
    </row>
    <row r="30" spans="2:8" x14ac:dyDescent="0.3">
      <c r="B30" s="187"/>
      <c r="C30" s="187"/>
      <c r="D30" s="187"/>
      <c r="E30" s="187"/>
      <c r="F30" s="187"/>
      <c r="G30" s="187"/>
      <c r="H30" s="187"/>
    </row>
    <row r="31" spans="2:8" x14ac:dyDescent="0.3">
      <c r="B31" s="187"/>
      <c r="C31" s="187"/>
      <c r="D31" s="187"/>
      <c r="E31" s="187"/>
      <c r="F31" s="187"/>
      <c r="G31" s="187"/>
      <c r="H31" s="187"/>
    </row>
    <row r="32" spans="2:8" x14ac:dyDescent="0.3">
      <c r="B32" s="187"/>
      <c r="C32" s="187"/>
      <c r="D32" s="187"/>
      <c r="E32" s="187"/>
      <c r="F32" s="187"/>
      <c r="G32" s="187"/>
      <c r="H32" s="187"/>
    </row>
    <row r="33" spans="2:8" x14ac:dyDescent="0.3">
      <c r="B33" s="187"/>
      <c r="C33" s="187"/>
      <c r="D33" s="187"/>
      <c r="E33" s="187"/>
      <c r="F33" s="187"/>
      <c r="G33" s="187"/>
      <c r="H33" s="187"/>
    </row>
    <row r="34" spans="2:8" x14ac:dyDescent="0.3">
      <c r="B34" s="187"/>
      <c r="C34" s="187"/>
      <c r="D34" s="187"/>
      <c r="E34" s="187"/>
      <c r="F34" s="187"/>
      <c r="G34" s="187"/>
      <c r="H34" s="187"/>
    </row>
    <row r="35" spans="2:8" x14ac:dyDescent="0.3">
      <c r="B35" s="187"/>
      <c r="C35" s="187"/>
      <c r="D35" s="187"/>
      <c r="E35" s="187"/>
      <c r="F35" s="187"/>
      <c r="G35" s="187"/>
      <c r="H35" s="187"/>
    </row>
    <row r="36" spans="2:8" x14ac:dyDescent="0.3">
      <c r="B36" s="187"/>
      <c r="C36" s="187"/>
      <c r="D36" s="187"/>
      <c r="E36" s="187"/>
      <c r="F36" s="187"/>
      <c r="G36" s="187"/>
      <c r="H36" s="187"/>
    </row>
    <row r="37" spans="2:8" x14ac:dyDescent="0.3">
      <c r="B37" s="187"/>
      <c r="C37" s="187"/>
      <c r="D37" s="187"/>
      <c r="E37" s="187"/>
      <c r="F37" s="187"/>
      <c r="G37" s="187"/>
      <c r="H37" s="187"/>
    </row>
    <row r="38" spans="2:8" x14ac:dyDescent="0.3">
      <c r="B38" s="187"/>
      <c r="C38" s="187"/>
      <c r="D38" s="187"/>
      <c r="E38" s="187"/>
      <c r="F38" s="187"/>
      <c r="G38" s="187"/>
      <c r="H38" s="187"/>
    </row>
    <row r="39" spans="2:8" x14ac:dyDescent="0.3">
      <c r="B39" s="187"/>
      <c r="C39" s="187"/>
      <c r="D39" s="187"/>
      <c r="E39" s="187"/>
      <c r="F39" s="187"/>
      <c r="G39" s="187"/>
      <c r="H39" s="187"/>
    </row>
    <row r="40" spans="2:8" x14ac:dyDescent="0.3">
      <c r="B40" s="187"/>
      <c r="C40" s="187"/>
      <c r="D40" s="187"/>
      <c r="E40" s="187"/>
      <c r="F40" s="187"/>
      <c r="G40" s="187"/>
      <c r="H40" s="187"/>
    </row>
    <row r="41" spans="2:8" x14ac:dyDescent="0.3">
      <c r="B41" s="187"/>
      <c r="C41" s="187"/>
      <c r="D41" s="187"/>
      <c r="E41" s="187"/>
      <c r="F41" s="187"/>
      <c r="G41" s="187"/>
      <c r="H41" s="187"/>
    </row>
    <row r="42" spans="2:8" x14ac:dyDescent="0.3">
      <c r="B42" s="187"/>
      <c r="C42" s="187"/>
      <c r="D42" s="187"/>
      <c r="E42" s="187"/>
      <c r="F42" s="187"/>
      <c r="G42" s="187"/>
      <c r="H42" s="187"/>
    </row>
    <row r="43" spans="2:8" x14ac:dyDescent="0.3">
      <c r="B43" s="187"/>
      <c r="C43" s="187"/>
      <c r="D43" s="187"/>
      <c r="E43" s="187"/>
      <c r="F43" s="187"/>
      <c r="G43" s="187"/>
      <c r="H43" s="187"/>
    </row>
    <row r="44" spans="2:8" x14ac:dyDescent="0.3">
      <c r="B44" s="187"/>
      <c r="C44" s="187"/>
      <c r="D44" s="187"/>
      <c r="E44" s="187"/>
      <c r="F44" s="187"/>
      <c r="G44" s="187"/>
      <c r="H44" s="187"/>
    </row>
  </sheetData>
  <sheetProtection algorithmName="SHA-512" hashValue="PzmLsFU7HO9gU0QgLa6X6mDmBcCE2lxLifyk1+ni9j4kBvq5s/SK0od6JGmIBP/UnQPKWTznf+qo2vqADQokTg==" saltValue="IeVluiMUCvOLh75QiVoZOA==" spinCount="100000" sheet="1" objects="1" scenarios="1"/>
  <mergeCells count="11">
    <mergeCell ref="C19:G19"/>
    <mergeCell ref="C21:G21"/>
    <mergeCell ref="C17:G17"/>
    <mergeCell ref="C11:G11"/>
    <mergeCell ref="C13:G13"/>
    <mergeCell ref="C15:G15"/>
    <mergeCell ref="C3:G3"/>
    <mergeCell ref="B4:H4"/>
    <mergeCell ref="B5:H5"/>
    <mergeCell ref="B6:H6"/>
    <mergeCell ref="C7:G9"/>
  </mergeCells>
  <hyperlinks>
    <hyperlink ref="C11:G11" location="'Ejercicio 1'!A1" display="1. Conceptos básicos" xr:uid="{00000000-0004-0000-0000-000000000000}"/>
    <hyperlink ref="C13:G13" location="'Ejercicio 2'!A1" display="2. Identificación de flujos incrementales" xr:uid="{00000000-0004-0000-0000-000001000000}"/>
    <hyperlink ref="C15:G15" location="'Ejercicio 3'!A1" display="3. Flujo de caja perpetuo" xr:uid="{00000000-0004-0000-0000-000002000000}"/>
    <hyperlink ref="C17:G17" location="'Ejercicio 4'!A1" display="4. Determinación del capital de trabajo de la empresa XYZ" xr:uid="{00000000-0004-0000-0000-000003000000}"/>
    <hyperlink ref="C19:G19" location="'Ejercicio 5'!A1" display="5. El requerimiento de capital de trabajo de Galletera del Sur SA" xr:uid="{00000000-0004-0000-0000-000004000000}"/>
    <hyperlink ref="C21:G21" location="'Ejercicio 6'!A1" display="6. El capital de trabajo de una estación de servicios" xr:uid="{00000000-0004-0000-0000-000005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8"/>
  <sheetViews>
    <sheetView topLeftCell="A10" zoomScaleNormal="100" workbookViewId="0">
      <selection activeCell="B2" sqref="B2:E2"/>
    </sheetView>
  </sheetViews>
  <sheetFormatPr baseColWidth="10" defaultColWidth="11.44140625" defaultRowHeight="13.2" x14ac:dyDescent="0.25"/>
  <cols>
    <col min="1" max="1" width="28.44140625" style="2" customWidth="1"/>
    <col min="2" max="16384" width="11.44140625" style="2"/>
  </cols>
  <sheetData>
    <row r="2" spans="1:5" ht="13.8" x14ac:dyDescent="0.25">
      <c r="A2" s="1"/>
      <c r="B2" s="204" t="s">
        <v>265</v>
      </c>
      <c r="C2" s="204"/>
      <c r="D2" s="204"/>
      <c r="E2" s="204"/>
    </row>
    <row r="27" spans="2:8" ht="13.8" x14ac:dyDescent="0.25">
      <c r="B27" s="193" t="s">
        <v>266</v>
      </c>
      <c r="C27" s="194"/>
      <c r="D27" s="194"/>
      <c r="E27" s="194"/>
      <c r="F27" s="194"/>
      <c r="G27" s="194"/>
      <c r="H27" s="194"/>
    </row>
    <row r="28" spans="2:8" ht="13.8" x14ac:dyDescent="0.25">
      <c r="B28" s="193" t="s">
        <v>267</v>
      </c>
      <c r="C28" s="194"/>
      <c r="D28" s="194"/>
      <c r="E28" s="194"/>
      <c r="F28" s="194"/>
      <c r="G28" s="194"/>
      <c r="H28" s="194"/>
    </row>
  </sheetData>
  <sheetProtection algorithmName="SHA-512" hashValue="CzZiQvwDaQQYe//E8d8sKuvXM8KdRgGMWmGiAR5/xNtmxbUtkal6sxQsa3kzveDrfYliRXnHtQ4wBnlTlbD6Cg==" saltValue="wYF9682ytL9hG+Rl5lvjhA==" spinCount="100000" sheet="1" objects="1" scenarios="1"/>
  <mergeCells count="1">
    <mergeCell ref="B2:E2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97"/>
  <sheetViews>
    <sheetView zoomScale="110" zoomScaleNormal="110" workbookViewId="0">
      <selection activeCell="B28" sqref="B28"/>
    </sheetView>
  </sheetViews>
  <sheetFormatPr baseColWidth="10" defaultColWidth="11.44140625" defaultRowHeight="13.8" x14ac:dyDescent="0.25"/>
  <cols>
    <col min="1" max="1" width="22.6640625" style="4" customWidth="1"/>
    <col min="2" max="2" width="33" style="4" customWidth="1"/>
    <col min="3" max="16384" width="11.44140625" style="4"/>
  </cols>
  <sheetData>
    <row r="1" spans="2:8" ht="19.95" customHeight="1" x14ac:dyDescent="0.25">
      <c r="B1" s="204" t="s">
        <v>242</v>
      </c>
      <c r="C1" s="204"/>
      <c r="D1" s="204"/>
      <c r="E1" s="204"/>
      <c r="F1" s="3"/>
      <c r="G1" s="3"/>
      <c r="H1" s="3"/>
    </row>
    <row r="3" spans="2:8" ht="14.4" customHeight="1" x14ac:dyDescent="0.25">
      <c r="B3" s="205" t="s">
        <v>142</v>
      </c>
      <c r="C3" s="206"/>
      <c r="D3" s="207"/>
    </row>
    <row r="4" spans="2:8" x14ac:dyDescent="0.25">
      <c r="B4" s="208"/>
      <c r="C4" s="209"/>
      <c r="D4" s="210"/>
    </row>
    <row r="5" spans="2:8" x14ac:dyDescent="0.25">
      <c r="B5" s="208"/>
      <c r="C5" s="209"/>
      <c r="D5" s="210"/>
    </row>
    <row r="6" spans="2:8" x14ac:dyDescent="0.25">
      <c r="B6" s="28"/>
      <c r="C6" s="29" t="s">
        <v>0</v>
      </c>
      <c r="D6" s="30" t="s">
        <v>85</v>
      </c>
    </row>
    <row r="7" spans="2:8" x14ac:dyDescent="0.25">
      <c r="B7" s="22" t="s">
        <v>9</v>
      </c>
      <c r="C7" s="6"/>
      <c r="D7" s="23">
        <v>9000</v>
      </c>
    </row>
    <row r="8" spans="2:8" x14ac:dyDescent="0.25">
      <c r="B8" s="22" t="s">
        <v>231</v>
      </c>
      <c r="C8" s="6"/>
      <c r="D8" s="24">
        <v>0.2</v>
      </c>
    </row>
    <row r="9" spans="2:8" x14ac:dyDescent="0.25">
      <c r="B9" s="22" t="s">
        <v>230</v>
      </c>
      <c r="C9" s="6"/>
      <c r="D9" s="23">
        <v>5000</v>
      </c>
    </row>
    <row r="10" spans="2:8" x14ac:dyDescent="0.25">
      <c r="B10" s="22" t="s">
        <v>64</v>
      </c>
      <c r="C10" s="6"/>
      <c r="D10" s="23">
        <v>80</v>
      </c>
    </row>
    <row r="11" spans="2:8" x14ac:dyDescent="0.25">
      <c r="B11" s="22" t="s">
        <v>12</v>
      </c>
      <c r="C11" s="6"/>
      <c r="D11" s="24">
        <v>0.5</v>
      </c>
    </row>
    <row r="12" spans="2:8" x14ac:dyDescent="0.25">
      <c r="B12" s="22" t="s">
        <v>83</v>
      </c>
      <c r="C12" s="6">
        <v>1000</v>
      </c>
      <c r="D12" s="23"/>
    </row>
    <row r="13" spans="2:8" x14ac:dyDescent="0.25">
      <c r="B13" s="22" t="s">
        <v>84</v>
      </c>
      <c r="C13" s="6">
        <v>500</v>
      </c>
      <c r="D13" s="23"/>
    </row>
    <row r="14" spans="2:8" x14ac:dyDescent="0.25">
      <c r="B14" s="22" t="s">
        <v>3</v>
      </c>
      <c r="C14" s="6"/>
      <c r="D14" s="23"/>
    </row>
    <row r="15" spans="2:8" x14ac:dyDescent="0.25">
      <c r="B15" s="22" t="s">
        <v>202</v>
      </c>
      <c r="C15" s="8">
        <v>10</v>
      </c>
      <c r="D15" s="23"/>
    </row>
    <row r="16" spans="2:8" x14ac:dyDescent="0.25">
      <c r="B16" s="22" t="s">
        <v>109</v>
      </c>
      <c r="C16" s="8">
        <v>20</v>
      </c>
      <c r="D16" s="23"/>
    </row>
    <row r="17" spans="2:4" x14ac:dyDescent="0.25">
      <c r="B17" s="22" t="s">
        <v>110</v>
      </c>
      <c r="C17" s="8">
        <v>30</v>
      </c>
      <c r="D17" s="23"/>
    </row>
    <row r="18" spans="2:4" x14ac:dyDescent="0.25">
      <c r="B18" s="22" t="s">
        <v>27</v>
      </c>
      <c r="C18" s="6"/>
      <c r="D18" s="24">
        <v>0.4</v>
      </c>
    </row>
    <row r="19" spans="2:4" x14ac:dyDescent="0.25">
      <c r="B19" s="22" t="s">
        <v>103</v>
      </c>
      <c r="C19" s="6">
        <v>55</v>
      </c>
      <c r="D19" s="24"/>
    </row>
    <row r="20" spans="2:4" x14ac:dyDescent="0.25">
      <c r="B20" s="22" t="s">
        <v>82</v>
      </c>
      <c r="C20" s="9">
        <v>0.1</v>
      </c>
      <c r="D20" s="23"/>
    </row>
    <row r="21" spans="2:4" x14ac:dyDescent="0.25">
      <c r="B21" s="22" t="s">
        <v>102</v>
      </c>
      <c r="C21" s="9">
        <v>0.3</v>
      </c>
      <c r="D21" s="23"/>
    </row>
    <row r="22" spans="2:4" x14ac:dyDescent="0.25">
      <c r="B22" s="22" t="s">
        <v>236</v>
      </c>
      <c r="C22" s="6">
        <v>2.5</v>
      </c>
      <c r="D22" s="23"/>
    </row>
    <row r="23" spans="2:4" x14ac:dyDescent="0.25">
      <c r="B23" s="25"/>
      <c r="C23" s="26"/>
      <c r="D23" s="27"/>
    </row>
    <row r="26" spans="2:4" x14ac:dyDescent="0.25">
      <c r="B26" s="31" t="s">
        <v>87</v>
      </c>
      <c r="C26" s="34" t="s">
        <v>0</v>
      </c>
    </row>
    <row r="27" spans="2:4" x14ac:dyDescent="0.25">
      <c r="B27" s="22" t="s">
        <v>67</v>
      </c>
      <c r="C27" s="23">
        <f>((D7-(D7*D8))/360)*10</f>
        <v>200</v>
      </c>
    </row>
    <row r="28" spans="2:4" x14ac:dyDescent="0.25">
      <c r="B28" s="22" t="s">
        <v>68</v>
      </c>
      <c r="C28" s="23">
        <f>((+D9+D10)/360)*20</f>
        <v>282.22222222222223</v>
      </c>
    </row>
    <row r="29" spans="2:4" x14ac:dyDescent="0.25">
      <c r="B29" s="22" t="s">
        <v>69</v>
      </c>
      <c r="C29" s="23">
        <f>((D9+D10)/360)*30</f>
        <v>423.33333333333331</v>
      </c>
    </row>
    <row r="30" spans="2:4" x14ac:dyDescent="0.25">
      <c r="B30" s="32" t="s">
        <v>71</v>
      </c>
      <c r="C30" s="33">
        <f>+C27+C28-C29</f>
        <v>58.888888888888914</v>
      </c>
    </row>
    <row r="32" spans="2:4" x14ac:dyDescent="0.25">
      <c r="B32" s="31" t="s">
        <v>88</v>
      </c>
      <c r="C32" s="34" t="s">
        <v>0</v>
      </c>
    </row>
    <row r="33" spans="2:6" x14ac:dyDescent="0.25">
      <c r="B33" s="22" t="s">
        <v>89</v>
      </c>
      <c r="C33" s="23">
        <f>+C12</f>
        <v>1000</v>
      </c>
    </row>
    <row r="34" spans="2:6" x14ac:dyDescent="0.25">
      <c r="B34" s="22" t="s">
        <v>80</v>
      </c>
      <c r="C34" s="23">
        <f>+C13</f>
        <v>500</v>
      </c>
    </row>
    <row r="35" spans="2:6" x14ac:dyDescent="0.25">
      <c r="B35" s="22" t="s">
        <v>90</v>
      </c>
      <c r="C35" s="23">
        <f>-(C33-C34)*D18</f>
        <v>-200</v>
      </c>
    </row>
    <row r="36" spans="2:6" x14ac:dyDescent="0.25">
      <c r="B36" s="35" t="s">
        <v>91</v>
      </c>
      <c r="C36" s="36">
        <f>+C33+C35</f>
        <v>800</v>
      </c>
    </row>
    <row r="38" spans="2:6" x14ac:dyDescent="0.25">
      <c r="B38" s="39" t="s">
        <v>86</v>
      </c>
      <c r="C38" s="40">
        <f>C19/(C30+C36)</f>
        <v>6.4036222509702451E-2</v>
      </c>
    </row>
    <row r="39" spans="2:6" x14ac:dyDescent="0.25">
      <c r="B39" s="38" t="s">
        <v>92</v>
      </c>
      <c r="C39" s="40">
        <f>1-C38</f>
        <v>0.93596377749029758</v>
      </c>
      <c r="D39" s="14"/>
    </row>
    <row r="41" spans="2:6" x14ac:dyDescent="0.25">
      <c r="B41" s="41" t="s">
        <v>94</v>
      </c>
      <c r="C41" s="121"/>
      <c r="D41" s="133"/>
    </row>
    <row r="42" spans="2:6" ht="16.2" x14ac:dyDescent="0.35">
      <c r="B42" s="43" t="s">
        <v>237</v>
      </c>
      <c r="C42" s="6">
        <f>+C22</f>
        <v>2.5</v>
      </c>
      <c r="D42" s="23"/>
    </row>
    <row r="43" spans="2:6" ht="16.2" x14ac:dyDescent="0.35">
      <c r="B43" s="43" t="s">
        <v>238</v>
      </c>
      <c r="C43" s="6">
        <f>+(1/(1+((C21/(1-C21))*(1-D18)))*C42)</f>
        <v>1.9886363636363638</v>
      </c>
      <c r="D43" s="23"/>
    </row>
    <row r="44" spans="2:6" ht="16.2" x14ac:dyDescent="0.35">
      <c r="B44" s="43" t="s">
        <v>239</v>
      </c>
      <c r="C44" s="6">
        <f>+((1+(C38/C39)*(1-D18)))*C43</f>
        <v>2.0702707796695354</v>
      </c>
      <c r="D44" s="23"/>
    </row>
    <row r="45" spans="2:6" ht="16.2" x14ac:dyDescent="0.35">
      <c r="B45" s="44" t="s">
        <v>240</v>
      </c>
      <c r="C45" s="136">
        <v>1.43E-2</v>
      </c>
      <c r="D45" s="139">
        <v>44013</v>
      </c>
    </row>
    <row r="46" spans="2:6" ht="16.2" x14ac:dyDescent="0.35">
      <c r="B46" s="44" t="s">
        <v>241</v>
      </c>
      <c r="C46" s="136">
        <v>4.8300000000000003E-2</v>
      </c>
      <c r="D46" s="85" t="s">
        <v>95</v>
      </c>
    </row>
    <row r="47" spans="2:6" x14ac:dyDescent="0.25">
      <c r="B47" s="25" t="s">
        <v>93</v>
      </c>
      <c r="C47" s="138">
        <v>1.4500000000000001E-2</v>
      </c>
      <c r="D47" s="140">
        <v>44013</v>
      </c>
      <c r="F47" s="15"/>
    </row>
    <row r="48" spans="2:6" x14ac:dyDescent="0.25">
      <c r="F48" s="16"/>
    </row>
    <row r="49" spans="2:7" x14ac:dyDescent="0.25">
      <c r="B49" s="41" t="s">
        <v>96</v>
      </c>
      <c r="C49" s="50"/>
    </row>
    <row r="50" spans="2:7" x14ac:dyDescent="0.25">
      <c r="B50" s="46" t="s">
        <v>99</v>
      </c>
      <c r="C50" s="47">
        <f>+C45+(C43*C46)+C47</f>
        <v>0.12485113636363639</v>
      </c>
      <c r="F50" s="6"/>
      <c r="G50" s="6"/>
    </row>
    <row r="51" spans="2:7" x14ac:dyDescent="0.25">
      <c r="B51" s="48" t="s">
        <v>100</v>
      </c>
      <c r="C51" s="49">
        <f>+C45+(C44*C46)+C47</f>
        <v>0.12879407865803857</v>
      </c>
      <c r="F51" s="6"/>
      <c r="G51" s="6"/>
    </row>
    <row r="52" spans="2:7" x14ac:dyDescent="0.25">
      <c r="F52" s="18"/>
      <c r="G52" s="18"/>
    </row>
    <row r="53" spans="2:7" x14ac:dyDescent="0.25">
      <c r="B53" s="41" t="s">
        <v>97</v>
      </c>
      <c r="C53" s="53"/>
      <c r="F53" s="18"/>
      <c r="G53" s="18"/>
    </row>
    <row r="54" spans="2:7" x14ac:dyDescent="0.25">
      <c r="B54" s="46" t="s">
        <v>86</v>
      </c>
      <c r="C54" s="47">
        <f>+C38</f>
        <v>6.4036222509702451E-2</v>
      </c>
      <c r="F54" s="19"/>
      <c r="G54" s="17"/>
    </row>
    <row r="55" spans="2:7" x14ac:dyDescent="0.25">
      <c r="B55" s="46" t="s">
        <v>81</v>
      </c>
      <c r="C55" s="51">
        <f>+C20</f>
        <v>0.1</v>
      </c>
      <c r="F55" s="20"/>
      <c r="G55" s="17"/>
    </row>
    <row r="56" spans="2:7" x14ac:dyDescent="0.25">
      <c r="B56" s="46" t="s">
        <v>98</v>
      </c>
      <c r="C56" s="52">
        <f>+D18</f>
        <v>0.4</v>
      </c>
      <c r="F56" s="20"/>
      <c r="G56" s="17"/>
    </row>
    <row r="57" spans="2:7" x14ac:dyDescent="0.25">
      <c r="B57" s="46" t="s">
        <v>92</v>
      </c>
      <c r="C57" s="47">
        <f>+C39</f>
        <v>0.93596377749029758</v>
      </c>
      <c r="F57" s="20"/>
      <c r="G57" s="21"/>
    </row>
    <row r="58" spans="2:7" x14ac:dyDescent="0.25">
      <c r="B58" s="46" t="s">
        <v>100</v>
      </c>
      <c r="C58" s="47">
        <f>+C51</f>
        <v>0.12879407865803857</v>
      </c>
      <c r="F58" s="20"/>
      <c r="G58" s="17"/>
    </row>
    <row r="59" spans="2:7" ht="3.6" customHeight="1" x14ac:dyDescent="0.25">
      <c r="B59" s="22"/>
      <c r="C59" s="23"/>
      <c r="F59" s="20"/>
      <c r="G59" s="17"/>
    </row>
    <row r="60" spans="2:7" x14ac:dyDescent="0.25">
      <c r="B60" s="54" t="s">
        <v>101</v>
      </c>
      <c r="C60" s="55">
        <f>+C54*C55*(1-C56)+C57*C58</f>
        <v>0.12438876572974245</v>
      </c>
      <c r="F60" s="18"/>
      <c r="G60" s="18"/>
    </row>
    <row r="61" spans="2:7" x14ac:dyDescent="0.25">
      <c r="F61" s="20"/>
      <c r="G61" s="17"/>
    </row>
    <row r="62" spans="2:7" x14ac:dyDescent="0.25">
      <c r="B62" s="31" t="s">
        <v>5</v>
      </c>
      <c r="C62" s="58" t="s">
        <v>0</v>
      </c>
      <c r="D62" s="58" t="s">
        <v>6</v>
      </c>
      <c r="E62" s="34" t="s">
        <v>7</v>
      </c>
      <c r="F62" s="6"/>
      <c r="G62" s="6"/>
    </row>
    <row r="63" spans="2:7" x14ac:dyDescent="0.25">
      <c r="B63" s="22" t="s">
        <v>9</v>
      </c>
      <c r="C63" s="6"/>
      <c r="D63" s="6">
        <f>+$D$7</f>
        <v>9000</v>
      </c>
      <c r="E63" s="23">
        <f>+$D$7</f>
        <v>9000</v>
      </c>
    </row>
    <row r="64" spans="2:7" x14ac:dyDescent="0.25">
      <c r="B64" s="22" t="s">
        <v>58</v>
      </c>
      <c r="C64" s="6"/>
      <c r="D64" s="6">
        <f>-$D$7*$D$8</f>
        <v>-1800</v>
      </c>
      <c r="E64" s="23">
        <f>-$D$7*$D$8</f>
        <v>-1800</v>
      </c>
    </row>
    <row r="65" spans="2:5" x14ac:dyDescent="0.25">
      <c r="B65" s="22" t="s">
        <v>63</v>
      </c>
      <c r="C65" s="6"/>
      <c r="D65" s="6">
        <f>-$D$9</f>
        <v>-5000</v>
      </c>
      <c r="E65" s="23">
        <f>-$D$9</f>
        <v>-5000</v>
      </c>
    </row>
    <row r="66" spans="2:5" x14ac:dyDescent="0.25">
      <c r="B66" s="22" t="s">
        <v>64</v>
      </c>
      <c r="C66" s="6"/>
      <c r="D66" s="6">
        <f>-$D$10</f>
        <v>-80</v>
      </c>
      <c r="E66" s="23">
        <f>-$D$10</f>
        <v>-80</v>
      </c>
    </row>
    <row r="67" spans="2:5" x14ac:dyDescent="0.25">
      <c r="B67" s="22" t="s">
        <v>12</v>
      </c>
      <c r="C67" s="6"/>
      <c r="D67" s="6">
        <f>-$C$13*$D$11</f>
        <v>-250</v>
      </c>
      <c r="E67" s="23">
        <f>-$C$13*$D$11</f>
        <v>-250</v>
      </c>
    </row>
    <row r="68" spans="2:5" x14ac:dyDescent="0.25">
      <c r="B68" s="22" t="s">
        <v>13</v>
      </c>
      <c r="C68" s="6"/>
      <c r="D68" s="6">
        <f>-SUM(D63:D67)*$D$18</f>
        <v>-748</v>
      </c>
      <c r="E68" s="23">
        <f>-SUM(E63:E67)*$D$18</f>
        <v>-748</v>
      </c>
    </row>
    <row r="69" spans="2:5" x14ac:dyDescent="0.25">
      <c r="B69" s="35" t="s">
        <v>14</v>
      </c>
      <c r="C69" s="59"/>
      <c r="D69" s="59">
        <f>SUM(D63:D68)</f>
        <v>1122</v>
      </c>
      <c r="E69" s="36">
        <f>SUM(E63:E68)</f>
        <v>1122</v>
      </c>
    </row>
    <row r="71" spans="2:5" x14ac:dyDescent="0.25">
      <c r="B71" s="31" t="s">
        <v>29</v>
      </c>
      <c r="C71" s="58" t="s">
        <v>0</v>
      </c>
      <c r="D71" s="58" t="s">
        <v>6</v>
      </c>
      <c r="E71" s="34" t="s">
        <v>7</v>
      </c>
    </row>
    <row r="72" spans="2:5" x14ac:dyDescent="0.25">
      <c r="B72" s="22" t="s">
        <v>65</v>
      </c>
      <c r="C72" s="6"/>
      <c r="D72" s="6">
        <f>SUM(D63:D64)</f>
        <v>7200</v>
      </c>
      <c r="E72" s="23">
        <f>SUM(E63:E64)</f>
        <v>7200</v>
      </c>
    </row>
    <row r="73" spans="2:5" x14ac:dyDescent="0.25">
      <c r="B73" s="22" t="s">
        <v>63</v>
      </c>
      <c r="C73" s="6"/>
      <c r="D73" s="6">
        <f>+D65</f>
        <v>-5000</v>
      </c>
      <c r="E73" s="23">
        <f>+E65</f>
        <v>-5000</v>
      </c>
    </row>
    <row r="74" spans="2:5" x14ac:dyDescent="0.25">
      <c r="B74" s="22" t="s">
        <v>64</v>
      </c>
      <c r="C74" s="6"/>
      <c r="D74" s="6">
        <f>+D66</f>
        <v>-80</v>
      </c>
      <c r="E74" s="23">
        <f>+E66</f>
        <v>-80</v>
      </c>
    </row>
    <row r="75" spans="2:5" x14ac:dyDescent="0.25">
      <c r="B75" s="22" t="s">
        <v>13</v>
      </c>
      <c r="C75" s="6"/>
      <c r="D75" s="6">
        <f>+D68</f>
        <v>-748</v>
      </c>
      <c r="E75" s="23">
        <f>+E68</f>
        <v>-748</v>
      </c>
    </row>
    <row r="76" spans="2:5" x14ac:dyDescent="0.25">
      <c r="B76" s="22" t="s">
        <v>2</v>
      </c>
      <c r="C76" s="6">
        <f>SUM(C77:C78)</f>
        <v>-858.88888888888891</v>
      </c>
      <c r="D76" s="6">
        <f t="shared" ref="D76:E76" si="0">SUM(D77:D78)</f>
        <v>0</v>
      </c>
      <c r="E76" s="23">
        <f t="shared" si="0"/>
        <v>0</v>
      </c>
    </row>
    <row r="77" spans="2:5" x14ac:dyDescent="0.25">
      <c r="B77" s="22" t="s">
        <v>59</v>
      </c>
      <c r="C77" s="6">
        <f>-C36</f>
        <v>-800</v>
      </c>
      <c r="D77" s="6"/>
      <c r="E77" s="23"/>
    </row>
    <row r="78" spans="2:5" x14ac:dyDescent="0.25">
      <c r="B78" s="22" t="s">
        <v>66</v>
      </c>
      <c r="C78" s="6">
        <f>-C30</f>
        <v>-58.888888888888914</v>
      </c>
      <c r="D78" s="6"/>
      <c r="E78" s="23"/>
    </row>
    <row r="79" spans="2:5" x14ac:dyDescent="0.25">
      <c r="B79" s="60" t="s">
        <v>21</v>
      </c>
      <c r="C79" s="61">
        <f>SUM(C72:C76)</f>
        <v>-858.88888888888891</v>
      </c>
      <c r="D79" s="61">
        <f>SUM(D72:D76)</f>
        <v>1372</v>
      </c>
      <c r="E79" s="62">
        <f t="shared" ref="E79" si="1">SUM(E72:E76)</f>
        <v>1372</v>
      </c>
    </row>
    <row r="80" spans="2:5" x14ac:dyDescent="0.25">
      <c r="B80" s="22" t="s">
        <v>111</v>
      </c>
      <c r="C80" s="6"/>
      <c r="D80" s="6"/>
      <c r="E80" s="57">
        <f>+E79/C60</f>
        <v>11029.934994137036</v>
      </c>
    </row>
    <row r="81" spans="2:5" x14ac:dyDescent="0.25">
      <c r="B81" s="63" t="s">
        <v>70</v>
      </c>
      <c r="C81" s="64">
        <f>+C79</f>
        <v>-858.88888888888891</v>
      </c>
      <c r="D81" s="64">
        <f>+D79</f>
        <v>1372</v>
      </c>
      <c r="E81" s="65">
        <f>+E79+E80</f>
        <v>12401.934994137036</v>
      </c>
    </row>
    <row r="82" spans="2:5" x14ac:dyDescent="0.25">
      <c r="B82" s="22" t="s">
        <v>30</v>
      </c>
      <c r="C82" s="6"/>
      <c r="D82" s="6"/>
      <c r="E82" s="23">
        <f>-C84*(1+C20)^2</f>
        <v>-66.550000000000011</v>
      </c>
    </row>
    <row r="83" spans="2:5" x14ac:dyDescent="0.25">
      <c r="B83" s="22" t="s">
        <v>72</v>
      </c>
      <c r="C83" s="6"/>
      <c r="D83" s="6"/>
      <c r="E83" s="23">
        <f>-(E82+C19)*D18</f>
        <v>4.6200000000000045</v>
      </c>
    </row>
    <row r="84" spans="2:5" x14ac:dyDescent="0.25">
      <c r="B84" s="22" t="s">
        <v>73</v>
      </c>
      <c r="C84" s="6">
        <f>+C19</f>
        <v>55</v>
      </c>
      <c r="D84" s="6"/>
      <c r="E84" s="23"/>
    </row>
    <row r="85" spans="2:5" x14ac:dyDescent="0.25">
      <c r="B85" s="35" t="s">
        <v>104</v>
      </c>
      <c r="C85" s="59">
        <f>SUM(C82:C84)</f>
        <v>55</v>
      </c>
      <c r="D85" s="59">
        <f t="shared" ref="D85:E85" si="2">SUM(D82:D84)</f>
        <v>0</v>
      </c>
      <c r="E85" s="36">
        <f t="shared" si="2"/>
        <v>-61.930000000000007</v>
      </c>
    </row>
    <row r="86" spans="2:5" x14ac:dyDescent="0.25">
      <c r="B86" s="32" t="s">
        <v>39</v>
      </c>
      <c r="C86" s="66">
        <f>+C81+C85</f>
        <v>-803.88888888888891</v>
      </c>
      <c r="D86" s="66">
        <f t="shared" ref="D86:E86" si="3">+D81+D85</f>
        <v>1372</v>
      </c>
      <c r="E86" s="33">
        <f t="shared" si="3"/>
        <v>12340.004994137036</v>
      </c>
    </row>
    <row r="89" spans="2:5" x14ac:dyDescent="0.25">
      <c r="B89" s="68" t="s">
        <v>105</v>
      </c>
      <c r="C89" s="56">
        <f>+C81+NPV(C60,D81:E81)</f>
        <v>10171.046105248148</v>
      </c>
    </row>
    <row r="91" spans="2:5" x14ac:dyDescent="0.25">
      <c r="B91" s="68" t="s">
        <v>106</v>
      </c>
      <c r="C91" s="56">
        <f>+C86+NPV(C58,D86:E86)</f>
        <v>10096.261235660973</v>
      </c>
    </row>
    <row r="93" spans="2:5" x14ac:dyDescent="0.25">
      <c r="B93" s="67" t="s">
        <v>201</v>
      </c>
      <c r="C93" s="36">
        <f>SUM(C94:C95)</f>
        <v>10166.299795166668</v>
      </c>
    </row>
    <row r="94" spans="2:5" x14ac:dyDescent="0.25">
      <c r="B94" s="22" t="s">
        <v>107</v>
      </c>
      <c r="C94" s="23">
        <f>+C81+NPV(C50,D81:E81)</f>
        <v>10162.481613348486</v>
      </c>
    </row>
    <row r="95" spans="2:5" x14ac:dyDescent="0.25">
      <c r="B95" s="25" t="s">
        <v>108</v>
      </c>
      <c r="C95" s="27">
        <f>+C85+NPV(C20,D85:E85)</f>
        <v>3.8181818181818201</v>
      </c>
    </row>
    <row r="97" spans="2:3" x14ac:dyDescent="0.25">
      <c r="B97" s="60" t="s">
        <v>233</v>
      </c>
      <c r="C97" s="69"/>
    </row>
  </sheetData>
  <sheetProtection algorithmName="SHA-512" hashValue="jjTIntrHuQ4JlKlR+MNrJGnLZHBnHvnD/aW4raX0uF0Y71WKqbyb6NAaTBx5CmUbNz0AF7HqIUE1fub8Slhmeg==" saltValue="FcXbbvXuoHdTjSlpX3qH7Q==" spinCount="100000" sheet="1" objects="1" scenarios="1"/>
  <mergeCells count="2">
    <mergeCell ref="B1:E1"/>
    <mergeCell ref="B3:D5"/>
  </mergeCells>
  <pageMargins left="0.70866141732283472" right="0.70866141732283472" top="0.74803149606299213" bottom="0.74803149606299213" header="0.31496062992125984" footer="0.31496062992125984"/>
  <pageSetup scale="63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70"/>
  <sheetViews>
    <sheetView zoomScaleNormal="100" zoomScaleSheetLayoutView="98" workbookViewId="0">
      <selection activeCell="B30" sqref="B30"/>
    </sheetView>
  </sheetViews>
  <sheetFormatPr baseColWidth="10" defaultColWidth="11.44140625" defaultRowHeight="13.8" x14ac:dyDescent="0.25"/>
  <cols>
    <col min="1" max="1" width="26" style="4" customWidth="1"/>
    <col min="2" max="2" width="44.6640625" style="4" customWidth="1"/>
    <col min="3" max="3" width="15.33203125" style="4" bestFit="1" customWidth="1"/>
    <col min="4" max="6" width="14.88671875" style="4" bestFit="1" customWidth="1"/>
    <col min="7" max="7" width="14.5546875" style="4" customWidth="1"/>
    <col min="8" max="8" width="14.5546875" style="4" bestFit="1" customWidth="1"/>
    <col min="9" max="10" width="14" style="4" customWidth="1"/>
    <col min="11" max="16384" width="11.44140625" style="4"/>
  </cols>
  <sheetData>
    <row r="1" spans="2:8" ht="19.95" customHeight="1" x14ac:dyDescent="0.25">
      <c r="B1" s="204" t="s">
        <v>243</v>
      </c>
      <c r="C1" s="204"/>
      <c r="D1" s="204"/>
      <c r="E1" s="204"/>
      <c r="F1" s="204"/>
      <c r="G1" s="204"/>
      <c r="H1" s="204"/>
    </row>
    <row r="3" spans="2:8" ht="14.4" customHeight="1" x14ac:dyDescent="0.25">
      <c r="B3" s="205" t="s">
        <v>112</v>
      </c>
      <c r="C3" s="206"/>
      <c r="D3" s="206"/>
      <c r="E3" s="206"/>
      <c r="F3" s="206"/>
      <c r="G3" s="206"/>
      <c r="H3" s="207"/>
    </row>
    <row r="4" spans="2:8" x14ac:dyDescent="0.25">
      <c r="B4" s="208"/>
      <c r="C4" s="209"/>
      <c r="D4" s="209"/>
      <c r="E4" s="209"/>
      <c r="F4" s="209"/>
      <c r="G4" s="209"/>
      <c r="H4" s="210"/>
    </row>
    <row r="5" spans="2:8" x14ac:dyDescent="0.25">
      <c r="B5" s="208"/>
      <c r="C5" s="209"/>
      <c r="D5" s="209"/>
      <c r="E5" s="209"/>
      <c r="F5" s="209"/>
      <c r="G5" s="209"/>
      <c r="H5" s="210"/>
    </row>
    <row r="6" spans="2:8" x14ac:dyDescent="0.25">
      <c r="B6" s="86"/>
      <c r="C6" s="87">
        <v>2020</v>
      </c>
      <c r="D6" s="87">
        <v>2021</v>
      </c>
      <c r="E6" s="87">
        <v>2022</v>
      </c>
      <c r="F6" s="87">
        <v>2023</v>
      </c>
      <c r="G6" s="87">
        <v>2024</v>
      </c>
      <c r="H6" s="88">
        <v>2025</v>
      </c>
    </row>
    <row r="7" spans="2:8" x14ac:dyDescent="0.25">
      <c r="B7" s="79" t="s">
        <v>125</v>
      </c>
      <c r="C7" s="73"/>
      <c r="D7" s="73">
        <v>11000</v>
      </c>
      <c r="E7" s="73">
        <v>12000</v>
      </c>
      <c r="F7" s="73">
        <v>13000</v>
      </c>
      <c r="G7" s="73">
        <v>14000</v>
      </c>
      <c r="H7" s="80">
        <v>15000</v>
      </c>
    </row>
    <row r="8" spans="2:8" x14ac:dyDescent="0.25">
      <c r="B8" s="79" t="s">
        <v>124</v>
      </c>
      <c r="C8" s="6"/>
      <c r="D8" s="73">
        <v>11000</v>
      </c>
      <c r="E8" s="73">
        <v>12000</v>
      </c>
      <c r="F8" s="73">
        <v>13000</v>
      </c>
      <c r="G8" s="73">
        <v>14000</v>
      </c>
      <c r="H8" s="80">
        <v>15000</v>
      </c>
    </row>
    <row r="9" spans="2:8" x14ac:dyDescent="0.25">
      <c r="B9" s="22" t="s">
        <v>123</v>
      </c>
      <c r="C9" s="6"/>
      <c r="D9" s="215">
        <f>(+D7/D8)*1000</f>
        <v>1000</v>
      </c>
      <c r="E9" s="215"/>
      <c r="F9" s="215"/>
      <c r="G9" s="215"/>
      <c r="H9" s="216"/>
    </row>
    <row r="10" spans="2:8" x14ac:dyDescent="0.25">
      <c r="B10" s="22" t="s">
        <v>122</v>
      </c>
      <c r="C10" s="6"/>
      <c r="D10" s="217">
        <v>10000</v>
      </c>
      <c r="E10" s="217"/>
      <c r="F10" s="217"/>
      <c r="G10" s="217"/>
      <c r="H10" s="218"/>
    </row>
    <row r="11" spans="2:8" x14ac:dyDescent="0.25">
      <c r="B11" s="22" t="s">
        <v>113</v>
      </c>
      <c r="C11" s="6"/>
      <c r="D11" s="74"/>
      <c r="E11" s="74"/>
      <c r="F11" s="217">
        <v>8000</v>
      </c>
      <c r="G11" s="217"/>
      <c r="H11" s="218"/>
    </row>
    <row r="12" spans="2:8" x14ac:dyDescent="0.25">
      <c r="B12" s="22" t="s">
        <v>115</v>
      </c>
      <c r="C12" s="6"/>
      <c r="D12" s="215">
        <v>500</v>
      </c>
      <c r="E12" s="215"/>
      <c r="F12" s="215"/>
      <c r="G12" s="74"/>
      <c r="H12" s="81"/>
    </row>
    <row r="13" spans="2:8" x14ac:dyDescent="0.25">
      <c r="B13" s="22" t="s">
        <v>116</v>
      </c>
      <c r="C13" s="6"/>
      <c r="D13" s="215">
        <v>2000000</v>
      </c>
      <c r="E13" s="215"/>
      <c r="F13" s="215"/>
      <c r="G13" s="215"/>
      <c r="H13" s="216"/>
    </row>
    <row r="14" spans="2:8" x14ac:dyDescent="0.25">
      <c r="B14" s="22" t="s">
        <v>117</v>
      </c>
      <c r="C14" s="6"/>
      <c r="D14" s="74"/>
      <c r="E14" s="74"/>
      <c r="F14" s="74"/>
      <c r="G14" s="215">
        <v>1000000</v>
      </c>
      <c r="H14" s="216"/>
    </row>
    <row r="15" spans="2:8" x14ac:dyDescent="0.25">
      <c r="B15" s="22" t="s">
        <v>121</v>
      </c>
      <c r="C15" s="6"/>
      <c r="D15" s="74"/>
      <c r="E15" s="74"/>
      <c r="F15" s="74"/>
      <c r="G15" s="211">
        <v>0.5</v>
      </c>
      <c r="H15" s="212"/>
    </row>
    <row r="16" spans="2:8" x14ac:dyDescent="0.25">
      <c r="B16" s="22" t="s">
        <v>27</v>
      </c>
      <c r="C16" s="6"/>
      <c r="D16" s="211">
        <v>0.3</v>
      </c>
      <c r="E16" s="211"/>
      <c r="F16" s="211"/>
      <c r="G16" s="211"/>
      <c r="H16" s="212"/>
    </row>
    <row r="17" spans="2:8" x14ac:dyDescent="0.25">
      <c r="B17" s="22" t="s">
        <v>118</v>
      </c>
      <c r="C17" s="6">
        <v>4000000</v>
      </c>
      <c r="D17" s="74"/>
      <c r="E17" s="74"/>
      <c r="F17" s="74"/>
      <c r="G17" s="74"/>
      <c r="H17" s="81"/>
    </row>
    <row r="18" spans="2:8" x14ac:dyDescent="0.25">
      <c r="B18" s="22" t="s">
        <v>119</v>
      </c>
      <c r="C18" s="6">
        <v>0</v>
      </c>
      <c r="D18" s="74"/>
      <c r="E18" s="74"/>
      <c r="F18" s="74"/>
      <c r="G18" s="74"/>
      <c r="H18" s="81"/>
    </row>
    <row r="19" spans="2:8" x14ac:dyDescent="0.25">
      <c r="B19" s="22" t="s">
        <v>120</v>
      </c>
      <c r="C19" s="6"/>
      <c r="D19" s="74"/>
      <c r="E19" s="74"/>
      <c r="F19" s="74">
        <v>2000000</v>
      </c>
      <c r="G19" s="74"/>
      <c r="H19" s="81"/>
    </row>
    <row r="20" spans="2:8" x14ac:dyDescent="0.25">
      <c r="B20" s="22" t="s">
        <v>4</v>
      </c>
      <c r="C20" s="9">
        <v>0.12</v>
      </c>
      <c r="D20" s="6"/>
      <c r="E20" s="6"/>
      <c r="F20" s="6"/>
      <c r="G20" s="6"/>
      <c r="H20" s="23"/>
    </row>
    <row r="21" spans="2:8" x14ac:dyDescent="0.25">
      <c r="B21" s="25"/>
      <c r="C21" s="75"/>
      <c r="D21" s="26"/>
      <c r="E21" s="26"/>
      <c r="F21" s="26"/>
      <c r="G21" s="26"/>
      <c r="H21" s="27"/>
    </row>
    <row r="23" spans="2:8" x14ac:dyDescent="0.25">
      <c r="B23" s="13" t="s">
        <v>225</v>
      </c>
    </row>
    <row r="25" spans="2:8" x14ac:dyDescent="0.25">
      <c r="B25" s="39" t="s">
        <v>227</v>
      </c>
      <c r="C25" s="172"/>
      <c r="D25" s="172"/>
      <c r="E25" s="172"/>
      <c r="F25" s="172"/>
      <c r="G25" s="172"/>
      <c r="H25" s="69"/>
    </row>
    <row r="26" spans="2:8" x14ac:dyDescent="0.25">
      <c r="B26" s="111" t="s">
        <v>51</v>
      </c>
      <c r="C26" s="95">
        <v>2020</v>
      </c>
      <c r="D26" s="95">
        <v>2021</v>
      </c>
      <c r="E26" s="95">
        <v>2022</v>
      </c>
      <c r="F26" s="95">
        <v>2023</v>
      </c>
      <c r="G26" s="95">
        <v>2024</v>
      </c>
      <c r="H26" s="173">
        <v>2025</v>
      </c>
    </row>
    <row r="27" spans="2:8" x14ac:dyDescent="0.25">
      <c r="B27" s="22" t="s">
        <v>127</v>
      </c>
      <c r="C27" s="6"/>
      <c r="D27" s="6">
        <f>+(D7-$D$10)*$D$9</f>
        <v>1000000</v>
      </c>
      <c r="E27" s="6">
        <f>+(E7-$D$10)*$D$9</f>
        <v>2000000</v>
      </c>
      <c r="F27" s="6">
        <f>+(F7-$D$10)*$D$9</f>
        <v>3000000</v>
      </c>
      <c r="G27" s="6">
        <f>+(G7-$D$10)*$D$9</f>
        <v>4000000</v>
      </c>
      <c r="H27" s="23">
        <f>+(H7-$D$10)*$D$9</f>
        <v>5000000</v>
      </c>
    </row>
    <row r="28" spans="2:8" x14ac:dyDescent="0.25">
      <c r="B28" s="22" t="s">
        <v>114</v>
      </c>
      <c r="C28" s="6"/>
      <c r="D28" s="6">
        <f>-(D7-$D$10)*$D$12</f>
        <v>-500000</v>
      </c>
      <c r="E28" s="6">
        <f>-(E7-$D$10)*$D$12</f>
        <v>-1000000</v>
      </c>
      <c r="F28" s="6">
        <f>-(F7-$D$10)*$D$12</f>
        <v>-1500000</v>
      </c>
      <c r="G28" s="6"/>
      <c r="H28" s="23"/>
    </row>
    <row r="29" spans="2:8" x14ac:dyDescent="0.25">
      <c r="B29" s="22" t="s">
        <v>126</v>
      </c>
      <c r="C29" s="6"/>
      <c r="D29" s="6"/>
      <c r="E29" s="6"/>
      <c r="F29" s="6"/>
      <c r="G29" s="6">
        <f>-$G$14</f>
        <v>-1000000</v>
      </c>
      <c r="H29" s="23">
        <f>-$G$14</f>
        <v>-1000000</v>
      </c>
    </row>
    <row r="30" spans="2:8" x14ac:dyDescent="0.25">
      <c r="B30" s="22" t="s">
        <v>128</v>
      </c>
      <c r="C30" s="6"/>
      <c r="D30" s="6"/>
      <c r="E30" s="6"/>
      <c r="F30" s="6"/>
      <c r="G30" s="6">
        <f>-$F$19*$G$15</f>
        <v>-1000000</v>
      </c>
      <c r="H30" s="23">
        <f>-$F$19*$G$15</f>
        <v>-1000000</v>
      </c>
    </row>
    <row r="31" spans="2:8" x14ac:dyDescent="0.25">
      <c r="B31" s="22" t="s">
        <v>27</v>
      </c>
      <c r="C31" s="6"/>
      <c r="D31" s="6">
        <f>-SUM(D27:D30)*$D$16</f>
        <v>-150000</v>
      </c>
      <c r="E31" s="6">
        <f>-SUM(E27:E30)*$D$16</f>
        <v>-300000</v>
      </c>
      <c r="F31" s="6">
        <f>-SUM(F27:F30)*$D$16</f>
        <v>-450000</v>
      </c>
      <c r="G31" s="6">
        <f>-SUM(G27:G30)*$D$16</f>
        <v>-600000</v>
      </c>
      <c r="H31" s="23">
        <f>-SUM(H27:H30)*$D$16</f>
        <v>-900000</v>
      </c>
    </row>
    <row r="32" spans="2:8" x14ac:dyDescent="0.25">
      <c r="B32" s="35" t="s">
        <v>14</v>
      </c>
      <c r="C32" s="59"/>
      <c r="D32" s="59">
        <f>SUM(D27:D31)</f>
        <v>350000</v>
      </c>
      <c r="E32" s="59">
        <f>SUM(E27:E31)</f>
        <v>700000</v>
      </c>
      <c r="F32" s="59">
        <f>SUM(F27:F31)</f>
        <v>1050000</v>
      </c>
      <c r="G32" s="59">
        <f>SUM(G27:G31)</f>
        <v>1400000</v>
      </c>
      <c r="H32" s="36">
        <f>SUM(H27:H31)</f>
        <v>2100000</v>
      </c>
    </row>
    <row r="34" spans="2:8" x14ac:dyDescent="0.25">
      <c r="B34" s="31" t="s">
        <v>210</v>
      </c>
      <c r="C34" s="90">
        <v>2020</v>
      </c>
      <c r="D34" s="90">
        <v>2021</v>
      </c>
      <c r="E34" s="90">
        <v>2022</v>
      </c>
      <c r="F34" s="90">
        <v>2023</v>
      </c>
      <c r="G34" s="90">
        <v>2024</v>
      </c>
      <c r="H34" s="91">
        <v>2025</v>
      </c>
    </row>
    <row r="35" spans="2:8" x14ac:dyDescent="0.25">
      <c r="B35" s="22" t="s">
        <v>16</v>
      </c>
      <c r="C35" s="6"/>
      <c r="D35" s="6">
        <f>+D32</f>
        <v>350000</v>
      </c>
      <c r="E35" s="6">
        <f>+E32</f>
        <v>700000</v>
      </c>
      <c r="F35" s="6">
        <f>+F32</f>
        <v>1050000</v>
      </c>
      <c r="G35" s="6">
        <f>+G32</f>
        <v>1400000</v>
      </c>
      <c r="H35" s="23">
        <f>+H32</f>
        <v>2100000</v>
      </c>
    </row>
    <row r="36" spans="2:8" x14ac:dyDescent="0.25">
      <c r="B36" s="22" t="s">
        <v>17</v>
      </c>
      <c r="C36" s="6"/>
      <c r="D36" s="6">
        <f>-D30</f>
        <v>0</v>
      </c>
      <c r="E36" s="6">
        <f>-E30</f>
        <v>0</v>
      </c>
      <c r="F36" s="6">
        <f>-F30</f>
        <v>0</v>
      </c>
      <c r="G36" s="6">
        <f>-G30</f>
        <v>1000000</v>
      </c>
      <c r="H36" s="23">
        <f>-H30</f>
        <v>1000000</v>
      </c>
    </row>
    <row r="37" spans="2:8" x14ac:dyDescent="0.25">
      <c r="B37" s="22" t="s">
        <v>2</v>
      </c>
      <c r="C37" s="6"/>
      <c r="D37" s="6"/>
      <c r="E37" s="6"/>
      <c r="F37" s="6">
        <f>-F19</f>
        <v>-2000000</v>
      </c>
      <c r="G37" s="6"/>
      <c r="H37" s="23"/>
    </row>
    <row r="38" spans="2:8" x14ac:dyDescent="0.25">
      <c r="B38" s="35" t="s">
        <v>21</v>
      </c>
      <c r="C38" s="59">
        <f>SUM(C35:C37)</f>
        <v>0</v>
      </c>
      <c r="D38" s="59">
        <f t="shared" ref="D38:H38" si="0">SUM(D35:D37)</f>
        <v>350000</v>
      </c>
      <c r="E38" s="59">
        <f t="shared" si="0"/>
        <v>700000</v>
      </c>
      <c r="F38" s="59">
        <f t="shared" si="0"/>
        <v>-950000</v>
      </c>
      <c r="G38" s="59">
        <f t="shared" si="0"/>
        <v>2400000</v>
      </c>
      <c r="H38" s="36">
        <f t="shared" si="0"/>
        <v>3100000</v>
      </c>
    </row>
    <row r="39" spans="2:8" x14ac:dyDescent="0.25">
      <c r="B39" s="22" t="s">
        <v>111</v>
      </c>
      <c r="C39" s="6"/>
      <c r="D39" s="6"/>
      <c r="E39" s="6"/>
      <c r="F39" s="6"/>
      <c r="G39" s="6"/>
      <c r="H39" s="23">
        <f>+H38/C20</f>
        <v>25833333.333333336</v>
      </c>
    </row>
    <row r="40" spans="2:8" x14ac:dyDescent="0.25">
      <c r="B40" s="35" t="s">
        <v>70</v>
      </c>
      <c r="C40" s="59">
        <f>SUM(C38:C39)</f>
        <v>0</v>
      </c>
      <c r="D40" s="59">
        <f t="shared" ref="D40:H40" si="1">SUM(D38:D39)</f>
        <v>350000</v>
      </c>
      <c r="E40" s="59">
        <f t="shared" si="1"/>
        <v>700000</v>
      </c>
      <c r="F40" s="59">
        <f t="shared" si="1"/>
        <v>-950000</v>
      </c>
      <c r="G40" s="59">
        <f t="shared" si="1"/>
        <v>2400000</v>
      </c>
      <c r="H40" s="36">
        <f t="shared" si="1"/>
        <v>28933333.333333336</v>
      </c>
    </row>
    <row r="42" spans="2:8" x14ac:dyDescent="0.25">
      <c r="B42" s="68" t="s">
        <v>61</v>
      </c>
      <c r="C42" s="56">
        <f>+C40+NPV(C20,D40:H40)</f>
        <v>18137138.225826036</v>
      </c>
    </row>
    <row r="43" spans="2:8" x14ac:dyDescent="0.25">
      <c r="C43" s="13"/>
    </row>
    <row r="45" spans="2:8" x14ac:dyDescent="0.25">
      <c r="B45" s="39" t="s">
        <v>226</v>
      </c>
      <c r="C45" s="172"/>
      <c r="D45" s="172"/>
      <c r="E45" s="172"/>
      <c r="F45" s="172"/>
      <c r="G45" s="172"/>
      <c r="H45" s="69"/>
    </row>
    <row r="46" spans="2:8" x14ac:dyDescent="0.25">
      <c r="B46" s="31" t="s">
        <v>216</v>
      </c>
      <c r="C46" s="90">
        <v>2020</v>
      </c>
      <c r="D46" s="90">
        <v>2021</v>
      </c>
      <c r="E46" s="90">
        <v>2022</v>
      </c>
      <c r="F46" s="90">
        <v>2023</v>
      </c>
      <c r="G46" s="90">
        <v>2024</v>
      </c>
      <c r="H46" s="91">
        <v>2025</v>
      </c>
    </row>
    <row r="47" spans="2:8" x14ac:dyDescent="0.25">
      <c r="B47" s="22" t="s">
        <v>127</v>
      </c>
      <c r="C47" s="6"/>
      <c r="D47" s="6">
        <f>+$D$10*$D$9</f>
        <v>10000000</v>
      </c>
      <c r="E47" s="6">
        <f t="shared" ref="E47:H47" si="2">+$D$10*$D$9</f>
        <v>10000000</v>
      </c>
      <c r="F47" s="6">
        <f t="shared" si="2"/>
        <v>10000000</v>
      </c>
      <c r="G47" s="6">
        <f t="shared" si="2"/>
        <v>10000000</v>
      </c>
      <c r="H47" s="23">
        <f t="shared" si="2"/>
        <v>10000000</v>
      </c>
    </row>
    <row r="48" spans="2:8" x14ac:dyDescent="0.25">
      <c r="B48" s="22" t="s">
        <v>218</v>
      </c>
      <c r="C48" s="6"/>
      <c r="D48" s="6">
        <f>-$D$13</f>
        <v>-2000000</v>
      </c>
      <c r="E48" s="6">
        <f t="shared" ref="E48:H48" si="3">-$D$13</f>
        <v>-2000000</v>
      </c>
      <c r="F48" s="6">
        <f t="shared" si="3"/>
        <v>-2000000</v>
      </c>
      <c r="G48" s="6">
        <f t="shared" si="3"/>
        <v>-2000000</v>
      </c>
      <c r="H48" s="23">
        <f t="shared" si="3"/>
        <v>-2000000</v>
      </c>
    </row>
    <row r="49" spans="2:8" x14ac:dyDescent="0.25">
      <c r="B49" s="22" t="s">
        <v>219</v>
      </c>
      <c r="C49" s="6"/>
      <c r="D49" s="6">
        <v>0</v>
      </c>
      <c r="E49" s="6">
        <v>0</v>
      </c>
      <c r="F49" s="6">
        <v>0</v>
      </c>
      <c r="G49" s="6">
        <v>0</v>
      </c>
      <c r="H49" s="23">
        <v>0</v>
      </c>
    </row>
    <row r="50" spans="2:8" x14ac:dyDescent="0.25">
      <c r="B50" s="22" t="s">
        <v>27</v>
      </c>
      <c r="C50" s="6"/>
      <c r="D50" s="6">
        <f>-SUM(D47:D49)*$D$16</f>
        <v>-2400000</v>
      </c>
      <c r="E50" s="6">
        <f>-SUM(E47:E49)*$D$16</f>
        <v>-2400000</v>
      </c>
      <c r="F50" s="6">
        <f>-SUM(F47:F49)*$D$16</f>
        <v>-2400000</v>
      </c>
      <c r="G50" s="6">
        <f>-SUM(G47:G49)*$D$16</f>
        <v>-2400000</v>
      </c>
      <c r="H50" s="23">
        <f>-SUM(H47:H49)*$D$16</f>
        <v>-2400000</v>
      </c>
    </row>
    <row r="51" spans="2:8" x14ac:dyDescent="0.25">
      <c r="B51" s="35" t="s">
        <v>14</v>
      </c>
      <c r="C51" s="59"/>
      <c r="D51" s="59">
        <f>SUM(D47:D50)</f>
        <v>5600000</v>
      </c>
      <c r="E51" s="59">
        <f>SUM(E47:E50)</f>
        <v>5600000</v>
      </c>
      <c r="F51" s="59">
        <f>SUM(F47:F50)</f>
        <v>5600000</v>
      </c>
      <c r="G51" s="59">
        <f>SUM(G47:G50)</f>
        <v>5600000</v>
      </c>
      <c r="H51" s="36">
        <f>SUM(H47:H50)</f>
        <v>5600000</v>
      </c>
    </row>
    <row r="53" spans="2:8" x14ac:dyDescent="0.25">
      <c r="B53" s="31" t="s">
        <v>217</v>
      </c>
      <c r="C53" s="90">
        <v>2020</v>
      </c>
      <c r="D53" s="90">
        <v>2021</v>
      </c>
      <c r="E53" s="90">
        <v>2022</v>
      </c>
      <c r="F53" s="90">
        <v>2023</v>
      </c>
      <c r="G53" s="90">
        <v>2024</v>
      </c>
      <c r="H53" s="91">
        <v>2025</v>
      </c>
    </row>
    <row r="54" spans="2:8" x14ac:dyDescent="0.25">
      <c r="B54" s="22" t="s">
        <v>16</v>
      </c>
      <c r="C54" s="6"/>
      <c r="D54" s="6">
        <f>+D51</f>
        <v>5600000</v>
      </c>
      <c r="E54" s="6">
        <f>+E51</f>
        <v>5600000</v>
      </c>
      <c r="F54" s="6">
        <f>+F51</f>
        <v>5600000</v>
      </c>
      <c r="G54" s="6">
        <f>+G51</f>
        <v>5600000</v>
      </c>
      <c r="H54" s="23">
        <f>+H51</f>
        <v>5600000</v>
      </c>
    </row>
    <row r="55" spans="2:8" x14ac:dyDescent="0.25">
      <c r="B55" s="22" t="s">
        <v>17</v>
      </c>
      <c r="C55" s="6"/>
      <c r="D55" s="6">
        <f>-D49</f>
        <v>0</v>
      </c>
      <c r="E55" s="6">
        <f>-E49</f>
        <v>0</v>
      </c>
      <c r="F55" s="6">
        <f>-F49</f>
        <v>0</v>
      </c>
      <c r="G55" s="6">
        <f>-G49</f>
        <v>0</v>
      </c>
      <c r="H55" s="23">
        <f>-H49</f>
        <v>0</v>
      </c>
    </row>
    <row r="56" spans="2:8" x14ac:dyDescent="0.25">
      <c r="B56" s="35" t="s">
        <v>190</v>
      </c>
      <c r="C56" s="59">
        <f t="shared" ref="C56:H56" si="4">SUM(C54:C55)</f>
        <v>0</v>
      </c>
      <c r="D56" s="59">
        <f t="shared" si="4"/>
        <v>5600000</v>
      </c>
      <c r="E56" s="59">
        <f t="shared" si="4"/>
        <v>5600000</v>
      </c>
      <c r="F56" s="59">
        <f t="shared" si="4"/>
        <v>5600000</v>
      </c>
      <c r="G56" s="59">
        <f t="shared" si="4"/>
        <v>5600000</v>
      </c>
      <c r="H56" s="36">
        <f t="shared" si="4"/>
        <v>5600000</v>
      </c>
    </row>
    <row r="58" spans="2:8" x14ac:dyDescent="0.25">
      <c r="B58" s="31" t="s">
        <v>220</v>
      </c>
      <c r="C58" s="90">
        <v>2020</v>
      </c>
      <c r="D58" s="90">
        <v>2021</v>
      </c>
      <c r="E58" s="90">
        <v>2022</v>
      </c>
      <c r="F58" s="90">
        <v>2023</v>
      </c>
      <c r="G58" s="90">
        <v>2024</v>
      </c>
      <c r="H58" s="91">
        <v>2025</v>
      </c>
    </row>
    <row r="59" spans="2:8" x14ac:dyDescent="0.25">
      <c r="B59" s="22" t="s">
        <v>127</v>
      </c>
      <c r="C59" s="6"/>
      <c r="D59" s="6">
        <f>+D7*$D$9</f>
        <v>11000000</v>
      </c>
      <c r="E59" s="6">
        <f>+E7*$D$9</f>
        <v>12000000</v>
      </c>
      <c r="F59" s="6">
        <f>+F7*$D$9</f>
        <v>13000000</v>
      </c>
      <c r="G59" s="6">
        <f>+G7*$D$9</f>
        <v>14000000</v>
      </c>
      <c r="H59" s="23">
        <f>+H7*$D$9</f>
        <v>15000000</v>
      </c>
    </row>
    <row r="60" spans="2:8" x14ac:dyDescent="0.25">
      <c r="B60" s="22" t="s">
        <v>114</v>
      </c>
      <c r="C60" s="6"/>
      <c r="D60" s="6">
        <f>-(D7-$D$10)*$D$12</f>
        <v>-500000</v>
      </c>
      <c r="E60" s="6">
        <f>-(E7-$D$10)*$D$12</f>
        <v>-1000000</v>
      </c>
      <c r="F60" s="6">
        <f>-(F7-$D$10)*$D$12</f>
        <v>-1500000</v>
      </c>
      <c r="G60" s="6"/>
      <c r="H60" s="23"/>
    </row>
    <row r="61" spans="2:8" x14ac:dyDescent="0.25">
      <c r="B61" s="22" t="s">
        <v>218</v>
      </c>
      <c r="C61" s="6"/>
      <c r="D61" s="6">
        <f>-$D$13</f>
        <v>-2000000</v>
      </c>
      <c r="E61" s="6">
        <f t="shared" ref="E61:H61" si="5">-$D$13</f>
        <v>-2000000</v>
      </c>
      <c r="F61" s="6">
        <f t="shared" si="5"/>
        <v>-2000000</v>
      </c>
      <c r="G61" s="6">
        <f t="shared" si="5"/>
        <v>-2000000</v>
      </c>
      <c r="H61" s="23">
        <f t="shared" si="5"/>
        <v>-2000000</v>
      </c>
    </row>
    <row r="62" spans="2:8" x14ac:dyDescent="0.25">
      <c r="B62" s="22" t="s">
        <v>223</v>
      </c>
      <c r="C62" s="6"/>
      <c r="D62" s="6"/>
      <c r="E62" s="6"/>
      <c r="F62" s="6"/>
      <c r="G62" s="6">
        <f>-$G$14</f>
        <v>-1000000</v>
      </c>
      <c r="H62" s="23">
        <f>-$G$14</f>
        <v>-1000000</v>
      </c>
    </row>
    <row r="63" spans="2:8" x14ac:dyDescent="0.25">
      <c r="B63" s="22" t="s">
        <v>221</v>
      </c>
      <c r="C63" s="6"/>
      <c r="D63" s="6"/>
      <c r="E63" s="6"/>
      <c r="F63" s="6"/>
      <c r="G63" s="6">
        <f>-$F$19*$G$15</f>
        <v>-1000000</v>
      </c>
      <c r="H63" s="23">
        <f>-$F$19*$G$15</f>
        <v>-1000000</v>
      </c>
    </row>
    <row r="64" spans="2:8" x14ac:dyDescent="0.25">
      <c r="B64" s="22" t="s">
        <v>27</v>
      </c>
      <c r="C64" s="6"/>
      <c r="D64" s="6">
        <f>-SUM(D59:D63)*$D$16</f>
        <v>-2550000</v>
      </c>
      <c r="E64" s="6">
        <f t="shared" ref="E64" si="6">-SUM(E59:E63)*$D$16</f>
        <v>-2700000</v>
      </c>
      <c r="F64" s="6">
        <f t="shared" ref="F64:H64" si="7">-SUM(F59:F63)*$D$16</f>
        <v>-2850000</v>
      </c>
      <c r="G64" s="6">
        <f t="shared" si="7"/>
        <v>-3000000</v>
      </c>
      <c r="H64" s="23">
        <f t="shared" si="7"/>
        <v>-3300000</v>
      </c>
    </row>
    <row r="65" spans="2:8" x14ac:dyDescent="0.25">
      <c r="B65" s="35" t="s">
        <v>14</v>
      </c>
      <c r="C65" s="59"/>
      <c r="D65" s="59">
        <f>SUM(D59:D64)</f>
        <v>5950000</v>
      </c>
      <c r="E65" s="59">
        <f>SUM(E59:E64)</f>
        <v>6300000</v>
      </c>
      <c r="F65" s="59">
        <f>SUM(F59:F64)</f>
        <v>6650000</v>
      </c>
      <c r="G65" s="59">
        <f>SUM(G59:G64)</f>
        <v>7000000</v>
      </c>
      <c r="H65" s="36">
        <f>SUM(H59:H64)</f>
        <v>7700000</v>
      </c>
    </row>
    <row r="67" spans="2:8" x14ac:dyDescent="0.25">
      <c r="B67" s="31" t="s">
        <v>224</v>
      </c>
      <c r="C67" s="90">
        <v>2020</v>
      </c>
      <c r="D67" s="90">
        <v>2021</v>
      </c>
      <c r="E67" s="90">
        <v>2022</v>
      </c>
      <c r="F67" s="90">
        <v>2023</v>
      </c>
      <c r="G67" s="90">
        <v>2024</v>
      </c>
      <c r="H67" s="91">
        <v>2025</v>
      </c>
    </row>
    <row r="68" spans="2:8" x14ac:dyDescent="0.25">
      <c r="B68" s="22" t="s">
        <v>16</v>
      </c>
      <c r="C68" s="6"/>
      <c r="D68" s="6">
        <f>+D65</f>
        <v>5950000</v>
      </c>
      <c r="E68" s="6">
        <f>+E65</f>
        <v>6300000</v>
      </c>
      <c r="F68" s="6">
        <f>+F65</f>
        <v>6650000</v>
      </c>
      <c r="G68" s="6">
        <f>+G65</f>
        <v>7000000</v>
      </c>
      <c r="H68" s="23">
        <f>+H65</f>
        <v>7700000</v>
      </c>
    </row>
    <row r="69" spans="2:8" x14ac:dyDescent="0.25">
      <c r="B69" s="22" t="s">
        <v>17</v>
      </c>
      <c r="C69" s="6"/>
      <c r="D69" s="6">
        <f>-D63</f>
        <v>0</v>
      </c>
      <c r="E69" s="6">
        <f>-E63</f>
        <v>0</v>
      </c>
      <c r="F69" s="6">
        <f>-F63</f>
        <v>0</v>
      </c>
      <c r="G69" s="6">
        <f>-G63</f>
        <v>1000000</v>
      </c>
      <c r="H69" s="23">
        <f>-H63</f>
        <v>1000000</v>
      </c>
    </row>
    <row r="70" spans="2:8" x14ac:dyDescent="0.25">
      <c r="B70" s="22" t="s">
        <v>222</v>
      </c>
      <c r="C70" s="6"/>
      <c r="D70" s="6"/>
      <c r="E70" s="6"/>
      <c r="F70" s="6">
        <f>-F19</f>
        <v>-2000000</v>
      </c>
      <c r="G70" s="6"/>
      <c r="H70" s="23"/>
    </row>
    <row r="71" spans="2:8" x14ac:dyDescent="0.25">
      <c r="B71" s="35" t="s">
        <v>189</v>
      </c>
      <c r="C71" s="59">
        <f>SUM(C68:C70)</f>
        <v>0</v>
      </c>
      <c r="D71" s="59">
        <f t="shared" ref="D71:H71" si="8">SUM(D68:D70)</f>
        <v>5950000</v>
      </c>
      <c r="E71" s="59">
        <f t="shared" si="8"/>
        <v>6300000</v>
      </c>
      <c r="F71" s="59">
        <f t="shared" si="8"/>
        <v>4650000</v>
      </c>
      <c r="G71" s="59">
        <f t="shared" si="8"/>
        <v>8000000</v>
      </c>
      <c r="H71" s="36">
        <f t="shared" si="8"/>
        <v>8700000</v>
      </c>
    </row>
    <row r="72" spans="2:8" ht="8.4" customHeight="1" x14ac:dyDescent="0.25">
      <c r="B72" s="22"/>
      <c r="C72" s="6"/>
      <c r="D72" s="6"/>
      <c r="E72" s="6"/>
      <c r="F72" s="6"/>
      <c r="G72" s="6"/>
      <c r="H72" s="23"/>
    </row>
    <row r="73" spans="2:8" x14ac:dyDescent="0.25">
      <c r="B73" s="22" t="s">
        <v>189</v>
      </c>
      <c r="C73" s="6">
        <f t="shared" ref="C73:H73" si="9">+C71</f>
        <v>0</v>
      </c>
      <c r="D73" s="6">
        <f t="shared" si="9"/>
        <v>5950000</v>
      </c>
      <c r="E73" s="6">
        <f t="shared" si="9"/>
        <v>6300000</v>
      </c>
      <c r="F73" s="6">
        <f t="shared" si="9"/>
        <v>4650000</v>
      </c>
      <c r="G73" s="6">
        <f t="shared" si="9"/>
        <v>8000000</v>
      </c>
      <c r="H73" s="23">
        <f t="shared" si="9"/>
        <v>8700000</v>
      </c>
    </row>
    <row r="74" spans="2:8" x14ac:dyDescent="0.25">
      <c r="B74" s="22" t="s">
        <v>190</v>
      </c>
      <c r="C74" s="6">
        <f t="shared" ref="C74:H74" si="10">+C56</f>
        <v>0</v>
      </c>
      <c r="D74" s="6">
        <f t="shared" si="10"/>
        <v>5600000</v>
      </c>
      <c r="E74" s="6">
        <f t="shared" si="10"/>
        <v>5600000</v>
      </c>
      <c r="F74" s="6">
        <f t="shared" si="10"/>
        <v>5600000</v>
      </c>
      <c r="G74" s="6">
        <f t="shared" si="10"/>
        <v>5600000</v>
      </c>
      <c r="H74" s="23">
        <f t="shared" si="10"/>
        <v>5600000</v>
      </c>
    </row>
    <row r="75" spans="2:8" ht="6" customHeight="1" x14ac:dyDescent="0.25">
      <c r="B75" s="22"/>
      <c r="C75" s="6"/>
      <c r="D75" s="6"/>
      <c r="E75" s="6"/>
      <c r="F75" s="6"/>
      <c r="G75" s="6"/>
      <c r="H75" s="23"/>
    </row>
    <row r="76" spans="2:8" x14ac:dyDescent="0.25">
      <c r="B76" s="35" t="s">
        <v>191</v>
      </c>
      <c r="C76" s="59">
        <f>+C73-C74</f>
        <v>0</v>
      </c>
      <c r="D76" s="59">
        <f t="shared" ref="D76:H76" si="11">+D73-D74</f>
        <v>350000</v>
      </c>
      <c r="E76" s="59">
        <f t="shared" si="11"/>
        <v>700000</v>
      </c>
      <c r="F76" s="59">
        <f t="shared" si="11"/>
        <v>-950000</v>
      </c>
      <c r="G76" s="59">
        <f t="shared" si="11"/>
        <v>2400000</v>
      </c>
      <c r="H76" s="36">
        <f t="shared" si="11"/>
        <v>3100000</v>
      </c>
    </row>
    <row r="79" spans="2:8" ht="14.4" customHeight="1" x14ac:dyDescent="0.25">
      <c r="B79" s="205" t="s">
        <v>129</v>
      </c>
      <c r="C79" s="206"/>
      <c r="D79" s="206"/>
      <c r="E79" s="206"/>
      <c r="F79" s="206"/>
      <c r="G79" s="206"/>
      <c r="H79" s="207"/>
    </row>
    <row r="80" spans="2:8" x14ac:dyDescent="0.25">
      <c r="B80" s="208"/>
      <c r="C80" s="209"/>
      <c r="D80" s="209"/>
      <c r="E80" s="209"/>
      <c r="F80" s="209"/>
      <c r="G80" s="209"/>
      <c r="H80" s="210"/>
    </row>
    <row r="81" spans="2:8" x14ac:dyDescent="0.25">
      <c r="B81" s="208"/>
      <c r="C81" s="209"/>
      <c r="D81" s="209"/>
      <c r="E81" s="209"/>
      <c r="F81" s="209"/>
      <c r="G81" s="209"/>
      <c r="H81" s="210"/>
    </row>
    <row r="82" spans="2:8" x14ac:dyDescent="0.25">
      <c r="B82" s="93"/>
      <c r="C82" s="87">
        <v>2020</v>
      </c>
      <c r="D82" s="87">
        <v>2021</v>
      </c>
      <c r="E82" s="87">
        <v>2022</v>
      </c>
      <c r="F82" s="87">
        <v>2023</v>
      </c>
      <c r="G82" s="87">
        <v>2024</v>
      </c>
      <c r="H82" s="88">
        <v>2025</v>
      </c>
    </row>
    <row r="83" spans="2:8" x14ac:dyDescent="0.25">
      <c r="B83" s="79" t="s">
        <v>125</v>
      </c>
      <c r="C83" s="6"/>
      <c r="D83" s="73">
        <v>11000</v>
      </c>
      <c r="E83" s="73">
        <v>12000</v>
      </c>
      <c r="F83" s="73">
        <v>13000</v>
      </c>
      <c r="G83" s="73">
        <v>14000</v>
      </c>
      <c r="H83" s="80">
        <v>15000</v>
      </c>
    </row>
    <row r="84" spans="2:8" x14ac:dyDescent="0.25">
      <c r="B84" s="79" t="s">
        <v>124</v>
      </c>
      <c r="C84" s="6"/>
      <c r="D84" s="73">
        <v>11000</v>
      </c>
      <c r="E84" s="73">
        <v>12000</v>
      </c>
      <c r="F84" s="73">
        <v>13000</v>
      </c>
      <c r="G84" s="73">
        <v>14000</v>
      </c>
      <c r="H84" s="80">
        <v>15000</v>
      </c>
    </row>
    <row r="85" spans="2:8" x14ac:dyDescent="0.25">
      <c r="B85" s="22" t="s">
        <v>123</v>
      </c>
      <c r="C85" s="6"/>
      <c r="D85" s="215">
        <f>(+D83/D84)*1000</f>
        <v>1000</v>
      </c>
      <c r="E85" s="215"/>
      <c r="F85" s="215"/>
      <c r="G85" s="215"/>
      <c r="H85" s="216"/>
    </row>
    <row r="86" spans="2:8" x14ac:dyDescent="0.25">
      <c r="B86" s="22" t="s">
        <v>122</v>
      </c>
      <c r="C86" s="6"/>
      <c r="D86" s="217">
        <v>10000</v>
      </c>
      <c r="E86" s="217"/>
      <c r="F86" s="217"/>
      <c r="G86" s="217"/>
      <c r="H86" s="218"/>
    </row>
    <row r="87" spans="2:8" x14ac:dyDescent="0.25">
      <c r="B87" s="79" t="s">
        <v>132</v>
      </c>
      <c r="C87" s="6"/>
      <c r="D87" s="213">
        <f>30000*4</f>
        <v>120000</v>
      </c>
      <c r="E87" s="213"/>
      <c r="F87" s="213"/>
      <c r="G87" s="213"/>
      <c r="H87" s="214"/>
    </row>
    <row r="88" spans="2:8" x14ac:dyDescent="0.25">
      <c r="B88" s="22" t="s">
        <v>131</v>
      </c>
      <c r="C88" s="6"/>
      <c r="D88" s="215">
        <f>100000*0.5</f>
        <v>50000</v>
      </c>
      <c r="E88" s="215"/>
      <c r="F88" s="215"/>
      <c r="G88" s="215"/>
      <c r="H88" s="216"/>
    </row>
    <row r="89" spans="2:8" x14ac:dyDescent="0.25">
      <c r="B89" s="22" t="s">
        <v>113</v>
      </c>
      <c r="C89" s="6"/>
      <c r="D89" s="215">
        <v>30000</v>
      </c>
      <c r="E89" s="215"/>
      <c r="F89" s="215"/>
      <c r="G89" s="215"/>
      <c r="H89" s="216"/>
    </row>
    <row r="90" spans="2:8" x14ac:dyDescent="0.25">
      <c r="B90" s="22" t="s">
        <v>117</v>
      </c>
      <c r="C90" s="6"/>
      <c r="D90" s="215">
        <v>5000000</v>
      </c>
      <c r="E90" s="215"/>
      <c r="F90" s="215"/>
      <c r="G90" s="215"/>
      <c r="H90" s="216"/>
    </row>
    <row r="91" spans="2:8" x14ac:dyDescent="0.25">
      <c r="B91" s="22" t="s">
        <v>116</v>
      </c>
      <c r="C91" s="6"/>
      <c r="D91" s="215">
        <v>2000000</v>
      </c>
      <c r="E91" s="215"/>
      <c r="F91" s="215"/>
      <c r="G91" s="215"/>
      <c r="H91" s="216"/>
    </row>
    <row r="92" spans="2:8" x14ac:dyDescent="0.25">
      <c r="B92" s="22" t="s">
        <v>115</v>
      </c>
      <c r="C92" s="6"/>
      <c r="D92" s="215">
        <v>500</v>
      </c>
      <c r="E92" s="215"/>
      <c r="F92" s="215"/>
      <c r="G92" s="215"/>
      <c r="H92" s="216"/>
    </row>
    <row r="93" spans="2:8" x14ac:dyDescent="0.25">
      <c r="B93" s="22" t="s">
        <v>133</v>
      </c>
      <c r="C93" s="6"/>
      <c r="D93" s="211">
        <v>0.5</v>
      </c>
      <c r="E93" s="211"/>
      <c r="F93" s="74"/>
      <c r="G93" s="6"/>
      <c r="H93" s="94"/>
    </row>
    <row r="94" spans="2:8" x14ac:dyDescent="0.25">
      <c r="B94" s="22" t="s">
        <v>27</v>
      </c>
      <c r="C94" s="6"/>
      <c r="D94" s="211">
        <v>0.3</v>
      </c>
      <c r="E94" s="211"/>
      <c r="F94" s="211"/>
      <c r="G94" s="211"/>
      <c r="H94" s="212"/>
    </row>
    <row r="95" spans="2:8" x14ac:dyDescent="0.25">
      <c r="B95" s="22" t="s">
        <v>118</v>
      </c>
      <c r="C95" s="6">
        <v>4000000</v>
      </c>
      <c r="D95" s="74"/>
      <c r="E95" s="74"/>
      <c r="F95" s="74"/>
      <c r="G95" s="74"/>
      <c r="H95" s="81"/>
    </row>
    <row r="96" spans="2:8" x14ac:dyDescent="0.25">
      <c r="B96" s="22" t="s">
        <v>119</v>
      </c>
      <c r="C96" s="6">
        <v>0</v>
      </c>
      <c r="D96" s="74"/>
      <c r="E96" s="74"/>
      <c r="F96" s="74"/>
      <c r="G96" s="74"/>
      <c r="H96" s="81"/>
    </row>
    <row r="97" spans="2:8" x14ac:dyDescent="0.25">
      <c r="B97" s="22" t="s">
        <v>139</v>
      </c>
      <c r="C97" s="6">
        <v>1000000</v>
      </c>
      <c r="D97" s="74"/>
      <c r="E97" s="74"/>
      <c r="F97" s="74"/>
      <c r="G97" s="74"/>
      <c r="H97" s="81"/>
    </row>
    <row r="98" spans="2:8" x14ac:dyDescent="0.25">
      <c r="B98" s="22" t="s">
        <v>136</v>
      </c>
      <c r="C98" s="6">
        <v>20000000</v>
      </c>
      <c r="D98" s="74"/>
      <c r="E98" s="74"/>
      <c r="F98" s="74"/>
      <c r="G98" s="74"/>
      <c r="H98" s="81"/>
    </row>
    <row r="99" spans="2:8" x14ac:dyDescent="0.25">
      <c r="B99" s="22" t="s">
        <v>130</v>
      </c>
      <c r="C99" s="6">
        <v>4000000</v>
      </c>
      <c r="D99" s="6"/>
      <c r="E99" s="6"/>
      <c r="F99" s="6"/>
      <c r="G99" s="6"/>
      <c r="H99" s="23"/>
    </row>
    <row r="100" spans="2:8" x14ac:dyDescent="0.25">
      <c r="B100" s="22" t="s">
        <v>4</v>
      </c>
      <c r="C100" s="9">
        <v>0.12</v>
      </c>
      <c r="D100" s="6"/>
      <c r="E100" s="6"/>
      <c r="F100" s="6"/>
      <c r="G100" s="6"/>
      <c r="H100" s="23"/>
    </row>
    <row r="101" spans="2:8" x14ac:dyDescent="0.25">
      <c r="B101" s="25"/>
      <c r="C101" s="26"/>
      <c r="D101" s="26"/>
      <c r="E101" s="26"/>
      <c r="F101" s="26"/>
      <c r="G101" s="26"/>
      <c r="H101" s="27"/>
    </row>
    <row r="103" spans="2:8" x14ac:dyDescent="0.25">
      <c r="B103" s="13" t="s">
        <v>229</v>
      </c>
    </row>
    <row r="105" spans="2:8" x14ac:dyDescent="0.25">
      <c r="B105" s="96" t="s">
        <v>227</v>
      </c>
    </row>
    <row r="106" spans="2:8" x14ac:dyDescent="0.25">
      <c r="B106" s="31" t="s">
        <v>51</v>
      </c>
      <c r="C106" s="90">
        <v>2020</v>
      </c>
      <c r="D106" s="90">
        <v>2021</v>
      </c>
      <c r="E106" s="90">
        <v>2022</v>
      </c>
      <c r="F106" s="90">
        <v>2023</v>
      </c>
      <c r="G106" s="90">
        <v>2024</v>
      </c>
      <c r="H106" s="91">
        <v>2025</v>
      </c>
    </row>
    <row r="107" spans="2:8" x14ac:dyDescent="0.25">
      <c r="B107" s="22" t="s">
        <v>135</v>
      </c>
      <c r="C107" s="6"/>
      <c r="D107" s="6">
        <f>+$D$88</f>
        <v>50000</v>
      </c>
      <c r="E107" s="6">
        <f>+$D$88</f>
        <v>50000</v>
      </c>
      <c r="F107" s="6">
        <f>+$D$88</f>
        <v>50000</v>
      </c>
      <c r="G107" s="6">
        <f>+$D$88</f>
        <v>50000</v>
      </c>
      <c r="H107" s="23">
        <f>+$D$88</f>
        <v>50000</v>
      </c>
    </row>
    <row r="108" spans="2:8" x14ac:dyDescent="0.25">
      <c r="B108" s="22" t="s">
        <v>10</v>
      </c>
      <c r="C108" s="6">
        <f>+C95+C98</f>
        <v>24000000</v>
      </c>
      <c r="D108" s="6"/>
      <c r="E108" s="6"/>
      <c r="F108" s="6"/>
      <c r="G108" s="6"/>
      <c r="H108" s="23"/>
    </row>
    <row r="109" spans="2:8" x14ac:dyDescent="0.25">
      <c r="B109" s="22" t="s">
        <v>134</v>
      </c>
      <c r="C109" s="6"/>
      <c r="D109" s="6">
        <f>-$D$87</f>
        <v>-120000</v>
      </c>
      <c r="E109" s="6">
        <f>-$D$87</f>
        <v>-120000</v>
      </c>
      <c r="F109" s="6">
        <f>-$D$87</f>
        <v>-120000</v>
      </c>
      <c r="G109" s="6">
        <f>-$D$87</f>
        <v>-120000</v>
      </c>
      <c r="H109" s="23">
        <f>-$D$87</f>
        <v>-120000</v>
      </c>
    </row>
    <row r="110" spans="2:8" x14ac:dyDescent="0.25">
      <c r="B110" s="22" t="s">
        <v>126</v>
      </c>
      <c r="C110" s="6"/>
      <c r="D110" s="6">
        <f>-$D$90</f>
        <v>-5000000</v>
      </c>
      <c r="E110" s="6">
        <f>-$D$90</f>
        <v>-5000000</v>
      </c>
      <c r="F110" s="6">
        <f>-$D$90</f>
        <v>-5000000</v>
      </c>
      <c r="G110" s="6">
        <f>-$D$90</f>
        <v>-5000000</v>
      </c>
      <c r="H110" s="23">
        <f>-$D$90</f>
        <v>-5000000</v>
      </c>
    </row>
    <row r="111" spans="2:8" x14ac:dyDescent="0.25">
      <c r="B111" s="22" t="s">
        <v>228</v>
      </c>
      <c r="C111" s="6"/>
      <c r="D111" s="6">
        <f>+$D$91+(D83-$D$86)*$D$92</f>
        <v>2500000</v>
      </c>
      <c r="E111" s="6">
        <f>+$D$91+(E83-$D$86)*$D$92</f>
        <v>3000000</v>
      </c>
      <c r="F111" s="6">
        <f>+$D$91+(F83-$D$86)*$D$92</f>
        <v>3500000</v>
      </c>
      <c r="G111" s="6">
        <f>+$D$91+(G83-$D$86)*$D$92</f>
        <v>4000000</v>
      </c>
      <c r="H111" s="23">
        <f>+$D$91+(H83-$D$86)*$D$92</f>
        <v>4500000</v>
      </c>
    </row>
    <row r="112" spans="2:8" x14ac:dyDescent="0.25">
      <c r="B112" s="22" t="s">
        <v>133</v>
      </c>
      <c r="C112" s="6"/>
      <c r="D112" s="6">
        <f>-($C$99)*$D$93</f>
        <v>-2000000</v>
      </c>
      <c r="E112" s="6">
        <f>-($C$99)*$D$93</f>
        <v>-2000000</v>
      </c>
      <c r="F112" s="6"/>
      <c r="G112" s="6"/>
      <c r="H112" s="23"/>
    </row>
    <row r="113" spans="2:8" x14ac:dyDescent="0.25">
      <c r="B113" s="22" t="s">
        <v>27</v>
      </c>
      <c r="C113" s="6">
        <f t="shared" ref="C113:H113" si="12">-SUM(C107:C112)*$D$94</f>
        <v>-7200000</v>
      </c>
      <c r="D113" s="6">
        <f t="shared" si="12"/>
        <v>1371000</v>
      </c>
      <c r="E113" s="6">
        <f t="shared" si="12"/>
        <v>1221000</v>
      </c>
      <c r="F113" s="6">
        <f t="shared" si="12"/>
        <v>471000</v>
      </c>
      <c r="G113" s="6">
        <f t="shared" si="12"/>
        <v>321000</v>
      </c>
      <c r="H113" s="23">
        <f t="shared" si="12"/>
        <v>171000</v>
      </c>
    </row>
    <row r="114" spans="2:8" x14ac:dyDescent="0.25">
      <c r="B114" s="35" t="s">
        <v>14</v>
      </c>
      <c r="C114" s="59">
        <f t="shared" ref="C114:H114" si="13">SUM(C107:C113)</f>
        <v>16800000</v>
      </c>
      <c r="D114" s="59">
        <f t="shared" si="13"/>
        <v>-3199000</v>
      </c>
      <c r="E114" s="59">
        <f t="shared" si="13"/>
        <v>-2849000</v>
      </c>
      <c r="F114" s="59">
        <f t="shared" si="13"/>
        <v>-1099000</v>
      </c>
      <c r="G114" s="59">
        <f t="shared" si="13"/>
        <v>-749000</v>
      </c>
      <c r="H114" s="36">
        <f t="shared" si="13"/>
        <v>-399000</v>
      </c>
    </row>
    <row r="116" spans="2:8" x14ac:dyDescent="0.25">
      <c r="B116" s="31" t="s">
        <v>210</v>
      </c>
      <c r="C116" s="90">
        <v>2020</v>
      </c>
      <c r="D116" s="90">
        <v>2021</v>
      </c>
      <c r="E116" s="90">
        <v>2022</v>
      </c>
      <c r="F116" s="90">
        <v>2023</v>
      </c>
      <c r="G116" s="90">
        <v>2024</v>
      </c>
      <c r="H116" s="91">
        <v>2025</v>
      </c>
    </row>
    <row r="117" spans="2:8" x14ac:dyDescent="0.25">
      <c r="B117" s="22" t="s">
        <v>65</v>
      </c>
      <c r="C117" s="6"/>
      <c r="D117" s="6">
        <f>+D107+D111</f>
        <v>2550000</v>
      </c>
      <c r="E117" s="6">
        <f t="shared" ref="E117:H117" si="14">+E107+E111</f>
        <v>3050000</v>
      </c>
      <c r="F117" s="6">
        <f t="shared" si="14"/>
        <v>3550000</v>
      </c>
      <c r="G117" s="6">
        <f t="shared" si="14"/>
        <v>4050000</v>
      </c>
      <c r="H117" s="23">
        <f t="shared" si="14"/>
        <v>4550000</v>
      </c>
    </row>
    <row r="118" spans="2:8" x14ac:dyDescent="0.25">
      <c r="B118" s="22" t="s">
        <v>137</v>
      </c>
      <c r="C118" s="6"/>
      <c r="D118" s="6">
        <f>+D109+D110</f>
        <v>-5120000</v>
      </c>
      <c r="E118" s="6">
        <f t="shared" ref="E118:H118" si="15">+E109+E110</f>
        <v>-5120000</v>
      </c>
      <c r="F118" s="6">
        <f t="shared" si="15"/>
        <v>-5120000</v>
      </c>
      <c r="G118" s="6">
        <f t="shared" si="15"/>
        <v>-5120000</v>
      </c>
      <c r="H118" s="23">
        <f t="shared" si="15"/>
        <v>-5120000</v>
      </c>
    </row>
    <row r="119" spans="2:8" x14ac:dyDescent="0.25">
      <c r="B119" s="22" t="s">
        <v>27</v>
      </c>
      <c r="C119" s="6">
        <f>+C113</f>
        <v>-7200000</v>
      </c>
      <c r="D119" s="6">
        <f>+D113</f>
        <v>1371000</v>
      </c>
      <c r="E119" s="6">
        <f t="shared" ref="E119:H119" si="16">+E113</f>
        <v>1221000</v>
      </c>
      <c r="F119" s="6">
        <f t="shared" si="16"/>
        <v>471000</v>
      </c>
      <c r="G119" s="6">
        <f t="shared" si="16"/>
        <v>321000</v>
      </c>
      <c r="H119" s="23">
        <f t="shared" si="16"/>
        <v>171000</v>
      </c>
    </row>
    <row r="120" spans="2:8" x14ac:dyDescent="0.25">
      <c r="B120" s="22" t="s">
        <v>138</v>
      </c>
      <c r="C120" s="6">
        <f>+C95</f>
        <v>4000000</v>
      </c>
      <c r="D120" s="6"/>
      <c r="E120" s="6"/>
      <c r="F120" s="6"/>
      <c r="G120" s="6"/>
      <c r="H120" s="23"/>
    </row>
    <row r="121" spans="2:8" x14ac:dyDescent="0.25">
      <c r="B121" s="22" t="s">
        <v>2</v>
      </c>
      <c r="C121" s="6">
        <f>-C99</f>
        <v>-4000000</v>
      </c>
      <c r="D121" s="6"/>
      <c r="E121" s="6"/>
      <c r="F121" s="6"/>
      <c r="G121" s="6"/>
      <c r="H121" s="23"/>
    </row>
    <row r="122" spans="2:8" x14ac:dyDescent="0.25">
      <c r="B122" s="22" t="s">
        <v>141</v>
      </c>
      <c r="C122" s="6">
        <f>-C97*(1-D94)</f>
        <v>-700000</v>
      </c>
      <c r="D122" s="6"/>
      <c r="E122" s="6"/>
      <c r="F122" s="6"/>
      <c r="G122" s="6"/>
      <c r="H122" s="23"/>
    </row>
    <row r="123" spans="2:8" x14ac:dyDescent="0.25">
      <c r="B123" s="35" t="s">
        <v>21</v>
      </c>
      <c r="C123" s="59">
        <f>SUM(C117:C122)</f>
        <v>-7900000</v>
      </c>
      <c r="D123" s="59">
        <f t="shared" ref="D123:H123" si="17">SUM(D117:D122)</f>
        <v>-1199000</v>
      </c>
      <c r="E123" s="59">
        <f t="shared" si="17"/>
        <v>-849000</v>
      </c>
      <c r="F123" s="59">
        <f t="shared" si="17"/>
        <v>-1099000</v>
      </c>
      <c r="G123" s="59">
        <f t="shared" si="17"/>
        <v>-749000</v>
      </c>
      <c r="H123" s="36">
        <f t="shared" si="17"/>
        <v>-399000</v>
      </c>
    </row>
    <row r="124" spans="2:8" x14ac:dyDescent="0.25">
      <c r="B124" s="22" t="s">
        <v>111</v>
      </c>
      <c r="C124" s="6"/>
      <c r="D124" s="6"/>
      <c r="E124" s="6"/>
      <c r="F124" s="6"/>
      <c r="G124" s="6"/>
      <c r="H124" s="23">
        <f>+H123/C100</f>
        <v>-3325000</v>
      </c>
    </row>
    <row r="125" spans="2:8" x14ac:dyDescent="0.25">
      <c r="B125" s="35" t="s">
        <v>140</v>
      </c>
      <c r="C125" s="59">
        <f>+C123+C124</f>
        <v>-7900000</v>
      </c>
      <c r="D125" s="59">
        <f t="shared" ref="D125:H125" si="18">+D123+D124</f>
        <v>-1199000</v>
      </c>
      <c r="E125" s="59">
        <f t="shared" si="18"/>
        <v>-849000</v>
      </c>
      <c r="F125" s="59">
        <f t="shared" si="18"/>
        <v>-1099000</v>
      </c>
      <c r="G125" s="59">
        <f t="shared" si="18"/>
        <v>-749000</v>
      </c>
      <c r="H125" s="36">
        <f t="shared" si="18"/>
        <v>-3724000</v>
      </c>
    </row>
    <row r="127" spans="2:8" x14ac:dyDescent="0.25">
      <c r="B127" s="68" t="s">
        <v>61</v>
      </c>
      <c r="C127" s="56">
        <f>+C125+NPV(C100,D125:H125)</f>
        <v>-13018700.46009475</v>
      </c>
    </row>
    <row r="128" spans="2:8" x14ac:dyDescent="0.25">
      <c r="C128" s="13"/>
    </row>
    <row r="129" spans="2:8" x14ac:dyDescent="0.25">
      <c r="B129" s="92" t="s">
        <v>226</v>
      </c>
    </row>
    <row r="130" spans="2:8" x14ac:dyDescent="0.25">
      <c r="B130" s="31" t="s">
        <v>216</v>
      </c>
      <c r="C130" s="90">
        <v>2020</v>
      </c>
      <c r="D130" s="90">
        <v>2021</v>
      </c>
      <c r="E130" s="90">
        <v>2022</v>
      </c>
      <c r="F130" s="90">
        <v>2023</v>
      </c>
      <c r="G130" s="90">
        <v>2024</v>
      </c>
      <c r="H130" s="91">
        <v>2025</v>
      </c>
    </row>
    <row r="131" spans="2:8" x14ac:dyDescent="0.25">
      <c r="B131" s="22" t="s">
        <v>127</v>
      </c>
      <c r="C131" s="6"/>
      <c r="D131" s="6">
        <f>+D84*$D$85</f>
        <v>11000000</v>
      </c>
      <c r="E131" s="6">
        <f>+E84*$D$85</f>
        <v>12000000</v>
      </c>
      <c r="F131" s="6">
        <f>+F84*$D$85</f>
        <v>13000000</v>
      </c>
      <c r="G131" s="6">
        <f>+G84*$D$85</f>
        <v>14000000</v>
      </c>
      <c r="H131" s="23">
        <f>+H84*$D$85</f>
        <v>15000000</v>
      </c>
    </row>
    <row r="132" spans="2:8" x14ac:dyDescent="0.25">
      <c r="B132" s="22" t="s">
        <v>218</v>
      </c>
      <c r="C132" s="6"/>
      <c r="D132" s="6">
        <f>-$D$91</f>
        <v>-2000000</v>
      </c>
      <c r="E132" s="6">
        <f>-$D$91</f>
        <v>-2000000</v>
      </c>
      <c r="F132" s="6">
        <f>-$D$91</f>
        <v>-2000000</v>
      </c>
      <c r="G132" s="6">
        <f>-$D$91</f>
        <v>-2000000</v>
      </c>
      <c r="H132" s="23">
        <f>-$D$91</f>
        <v>-2000000</v>
      </c>
    </row>
    <row r="133" spans="2:8" x14ac:dyDescent="0.25">
      <c r="B133" s="22" t="s">
        <v>114</v>
      </c>
      <c r="C133" s="6"/>
      <c r="D133" s="6">
        <f>-(D83-$D$86)*$D$92</f>
        <v>-500000</v>
      </c>
      <c r="E133" s="6">
        <f>-(E83-$D$86)*$D$92</f>
        <v>-1000000</v>
      </c>
      <c r="F133" s="6">
        <f>-(F83-$D$86)*$D$92</f>
        <v>-1500000</v>
      </c>
      <c r="G133" s="6">
        <f>-(G83-$D$86)*$D$92</f>
        <v>-2000000</v>
      </c>
      <c r="H133" s="23">
        <f>-(H83-$D$86)*$D$92</f>
        <v>-2500000</v>
      </c>
    </row>
    <row r="134" spans="2:8" x14ac:dyDescent="0.25">
      <c r="B134" s="22" t="s">
        <v>27</v>
      </c>
      <c r="C134" s="6"/>
      <c r="D134" s="6">
        <f>-SUM(D131:D133)*$D$94</f>
        <v>-2550000</v>
      </c>
      <c r="E134" s="6">
        <f>-SUM(E131:E133)*$D$94</f>
        <v>-2700000</v>
      </c>
      <c r="F134" s="6">
        <f>-SUM(F131:F133)*$D$94</f>
        <v>-2850000</v>
      </c>
      <c r="G134" s="6">
        <f>-SUM(G131:G133)*$D$94</f>
        <v>-3000000</v>
      </c>
      <c r="H134" s="23">
        <f>-SUM(H131:H133)*$D$94</f>
        <v>-3150000</v>
      </c>
    </row>
    <row r="135" spans="2:8" x14ac:dyDescent="0.25">
      <c r="B135" s="35" t="s">
        <v>14</v>
      </c>
      <c r="C135" s="59"/>
      <c r="D135" s="59">
        <f>SUM(D131:D134)</f>
        <v>5950000</v>
      </c>
      <c r="E135" s="59">
        <f t="shared" ref="E135:H135" si="19">SUM(E131:E134)</f>
        <v>6300000</v>
      </c>
      <c r="F135" s="59">
        <f t="shared" si="19"/>
        <v>6650000</v>
      </c>
      <c r="G135" s="59">
        <f t="shared" si="19"/>
        <v>7000000</v>
      </c>
      <c r="H135" s="36">
        <f t="shared" si="19"/>
        <v>7350000</v>
      </c>
    </row>
    <row r="137" spans="2:8" x14ac:dyDescent="0.25">
      <c r="B137" s="31" t="s">
        <v>217</v>
      </c>
      <c r="C137" s="90">
        <v>2020</v>
      </c>
      <c r="D137" s="90">
        <v>2021</v>
      </c>
      <c r="E137" s="90">
        <v>2022</v>
      </c>
      <c r="F137" s="90">
        <v>2023</v>
      </c>
      <c r="G137" s="90">
        <v>2024</v>
      </c>
      <c r="H137" s="91">
        <v>2025</v>
      </c>
    </row>
    <row r="138" spans="2:8" x14ac:dyDescent="0.25">
      <c r="B138" s="22" t="s">
        <v>65</v>
      </c>
      <c r="C138" s="6"/>
      <c r="D138" s="6">
        <f>+D131</f>
        <v>11000000</v>
      </c>
      <c r="E138" s="6">
        <f t="shared" ref="E138:H138" si="20">+E131</f>
        <v>12000000</v>
      </c>
      <c r="F138" s="6">
        <f t="shared" si="20"/>
        <v>13000000</v>
      </c>
      <c r="G138" s="6">
        <f t="shared" si="20"/>
        <v>14000000</v>
      </c>
      <c r="H138" s="23">
        <f t="shared" si="20"/>
        <v>15000000</v>
      </c>
    </row>
    <row r="139" spans="2:8" x14ac:dyDescent="0.25">
      <c r="B139" s="22" t="s">
        <v>137</v>
      </c>
      <c r="C139" s="6"/>
      <c r="D139" s="6">
        <f>+D132+D133</f>
        <v>-2500000</v>
      </c>
      <c r="E139" s="6">
        <f t="shared" ref="E139:H139" si="21">+E132+E133</f>
        <v>-3000000</v>
      </c>
      <c r="F139" s="6">
        <f t="shared" si="21"/>
        <v>-3500000</v>
      </c>
      <c r="G139" s="6">
        <f t="shared" si="21"/>
        <v>-4000000</v>
      </c>
      <c r="H139" s="23">
        <f t="shared" si="21"/>
        <v>-4500000</v>
      </c>
    </row>
    <row r="140" spans="2:8" x14ac:dyDescent="0.25">
      <c r="B140" s="22" t="s">
        <v>27</v>
      </c>
      <c r="C140" s="6"/>
      <c r="D140" s="6">
        <f>+D134</f>
        <v>-2550000</v>
      </c>
      <c r="E140" s="6">
        <f t="shared" ref="E140:H140" si="22">+E134</f>
        <v>-2700000</v>
      </c>
      <c r="F140" s="6">
        <f t="shared" si="22"/>
        <v>-2850000</v>
      </c>
      <c r="G140" s="6">
        <f t="shared" si="22"/>
        <v>-3000000</v>
      </c>
      <c r="H140" s="23">
        <f t="shared" si="22"/>
        <v>-3150000</v>
      </c>
    </row>
    <row r="141" spans="2:8" x14ac:dyDescent="0.25">
      <c r="B141" s="35" t="s">
        <v>190</v>
      </c>
      <c r="C141" s="59"/>
      <c r="D141" s="59">
        <f>SUM(D138:D140)</f>
        <v>5950000</v>
      </c>
      <c r="E141" s="59">
        <f t="shared" ref="E141:H141" si="23">SUM(E138:E140)</f>
        <v>6300000</v>
      </c>
      <c r="F141" s="59">
        <f t="shared" si="23"/>
        <v>6650000</v>
      </c>
      <c r="G141" s="59">
        <f t="shared" si="23"/>
        <v>7000000</v>
      </c>
      <c r="H141" s="36">
        <f t="shared" si="23"/>
        <v>7350000</v>
      </c>
    </row>
    <row r="144" spans="2:8" x14ac:dyDescent="0.25">
      <c r="B144" s="31" t="s">
        <v>220</v>
      </c>
      <c r="C144" s="90">
        <v>2020</v>
      </c>
      <c r="D144" s="90">
        <v>2021</v>
      </c>
      <c r="E144" s="90">
        <v>2022</v>
      </c>
      <c r="F144" s="90">
        <v>2023</v>
      </c>
      <c r="G144" s="90">
        <v>2024</v>
      </c>
      <c r="H144" s="91">
        <v>2025</v>
      </c>
    </row>
    <row r="145" spans="2:8" x14ac:dyDescent="0.25">
      <c r="B145" s="22" t="s">
        <v>127</v>
      </c>
      <c r="C145" s="6"/>
      <c r="D145" s="6">
        <f>+D84*$D$85</f>
        <v>11000000</v>
      </c>
      <c r="E145" s="6">
        <f>+E84*$D$85</f>
        <v>12000000</v>
      </c>
      <c r="F145" s="6">
        <f>+F84*$D$85</f>
        <v>13000000</v>
      </c>
      <c r="G145" s="6">
        <f>+G84*$D$85</f>
        <v>14000000</v>
      </c>
      <c r="H145" s="23">
        <f>+H84*$D$85</f>
        <v>15000000</v>
      </c>
    </row>
    <row r="146" spans="2:8" x14ac:dyDescent="0.25">
      <c r="B146" s="22" t="s">
        <v>135</v>
      </c>
      <c r="C146" s="6"/>
      <c r="D146" s="6">
        <f>+$D$88</f>
        <v>50000</v>
      </c>
      <c r="E146" s="6">
        <f>+$D$88</f>
        <v>50000</v>
      </c>
      <c r="F146" s="6">
        <f>+$D$88</f>
        <v>50000</v>
      </c>
      <c r="G146" s="6">
        <f>+$D$88</f>
        <v>50000</v>
      </c>
      <c r="H146" s="23">
        <f>+$D$88</f>
        <v>50000</v>
      </c>
    </row>
    <row r="147" spans="2:8" x14ac:dyDescent="0.25">
      <c r="B147" s="22" t="s">
        <v>10</v>
      </c>
      <c r="C147" s="6">
        <f>+C95+C98</f>
        <v>24000000</v>
      </c>
      <c r="D147" s="6"/>
      <c r="E147" s="6"/>
      <c r="F147" s="6"/>
      <c r="G147" s="6"/>
      <c r="H147" s="23"/>
    </row>
    <row r="148" spans="2:8" x14ac:dyDescent="0.25">
      <c r="B148" s="22" t="s">
        <v>134</v>
      </c>
      <c r="C148" s="6"/>
      <c r="D148" s="6">
        <f>-$D$87</f>
        <v>-120000</v>
      </c>
      <c r="E148" s="6">
        <f>-$D$87</f>
        <v>-120000</v>
      </c>
      <c r="F148" s="6">
        <f>-$D$87</f>
        <v>-120000</v>
      </c>
      <c r="G148" s="6">
        <f>-$D$87</f>
        <v>-120000</v>
      </c>
      <c r="H148" s="23">
        <f>-$D$87</f>
        <v>-120000</v>
      </c>
    </row>
    <row r="149" spans="2:8" x14ac:dyDescent="0.25">
      <c r="B149" s="22" t="s">
        <v>126</v>
      </c>
      <c r="C149" s="6"/>
      <c r="D149" s="6">
        <f>-$D$90</f>
        <v>-5000000</v>
      </c>
      <c r="E149" s="6">
        <f>-$D$90</f>
        <v>-5000000</v>
      </c>
      <c r="F149" s="6">
        <f>-$D$90</f>
        <v>-5000000</v>
      </c>
      <c r="G149" s="6">
        <f>-$D$90</f>
        <v>-5000000</v>
      </c>
      <c r="H149" s="23">
        <f>-$D$90</f>
        <v>-5000000</v>
      </c>
    </row>
    <row r="150" spans="2:8" x14ac:dyDescent="0.25">
      <c r="B150" s="22" t="s">
        <v>133</v>
      </c>
      <c r="C150" s="6"/>
      <c r="D150" s="6">
        <f>-$C$99*$D$93</f>
        <v>-2000000</v>
      </c>
      <c r="E150" s="6">
        <f>-$C$99*$D$93</f>
        <v>-2000000</v>
      </c>
      <c r="F150" s="6"/>
      <c r="G150" s="6"/>
      <c r="H150" s="23"/>
    </row>
    <row r="151" spans="2:8" x14ac:dyDescent="0.25">
      <c r="B151" s="22" t="s">
        <v>27</v>
      </c>
      <c r="C151" s="6">
        <f t="shared" ref="C151:H151" si="24">-SUM(C145:C150)*$D$94</f>
        <v>-7200000</v>
      </c>
      <c r="D151" s="6">
        <f t="shared" si="24"/>
        <v>-1179000</v>
      </c>
      <c r="E151" s="6">
        <f t="shared" si="24"/>
        <v>-1479000</v>
      </c>
      <c r="F151" s="6">
        <f t="shared" si="24"/>
        <v>-2379000</v>
      </c>
      <c r="G151" s="6">
        <f t="shared" si="24"/>
        <v>-2679000</v>
      </c>
      <c r="H151" s="23">
        <f t="shared" si="24"/>
        <v>-2979000</v>
      </c>
    </row>
    <row r="152" spans="2:8" x14ac:dyDescent="0.25">
      <c r="B152" s="35" t="s">
        <v>14</v>
      </c>
      <c r="C152" s="59">
        <f>SUM(C145:C151)</f>
        <v>16800000</v>
      </c>
      <c r="D152" s="59">
        <f t="shared" ref="D152:H152" si="25">SUM(D145:D151)</f>
        <v>2751000</v>
      </c>
      <c r="E152" s="59">
        <f t="shared" si="25"/>
        <v>3451000</v>
      </c>
      <c r="F152" s="59">
        <f t="shared" si="25"/>
        <v>5551000</v>
      </c>
      <c r="G152" s="59">
        <f t="shared" si="25"/>
        <v>6251000</v>
      </c>
      <c r="H152" s="36">
        <f t="shared" si="25"/>
        <v>6951000</v>
      </c>
    </row>
    <row r="154" spans="2:8" x14ac:dyDescent="0.25">
      <c r="B154" s="31" t="s">
        <v>224</v>
      </c>
      <c r="C154" s="90">
        <v>2020</v>
      </c>
      <c r="D154" s="90">
        <v>2021</v>
      </c>
      <c r="E154" s="90">
        <v>2022</v>
      </c>
      <c r="F154" s="90">
        <v>2023</v>
      </c>
      <c r="G154" s="90">
        <v>2024</v>
      </c>
      <c r="H154" s="91">
        <v>2025</v>
      </c>
    </row>
    <row r="155" spans="2:8" x14ac:dyDescent="0.25">
      <c r="B155" s="22" t="s">
        <v>65</v>
      </c>
      <c r="C155" s="6"/>
      <c r="D155" s="6">
        <f>+D145+D146</f>
        <v>11050000</v>
      </c>
      <c r="E155" s="6">
        <f t="shared" ref="E155:H155" si="26">+E145+E146</f>
        <v>12050000</v>
      </c>
      <c r="F155" s="6">
        <f t="shared" si="26"/>
        <v>13050000</v>
      </c>
      <c r="G155" s="6">
        <f t="shared" si="26"/>
        <v>14050000</v>
      </c>
      <c r="H155" s="23">
        <f t="shared" si="26"/>
        <v>15050000</v>
      </c>
    </row>
    <row r="156" spans="2:8" x14ac:dyDescent="0.25">
      <c r="B156" s="22" t="s">
        <v>137</v>
      </c>
      <c r="C156" s="6"/>
      <c r="D156" s="6">
        <f>+D148+D149</f>
        <v>-5120000</v>
      </c>
      <c r="E156" s="6">
        <f t="shared" ref="E156:H156" si="27">+E148+E149</f>
        <v>-5120000</v>
      </c>
      <c r="F156" s="6">
        <f t="shared" si="27"/>
        <v>-5120000</v>
      </c>
      <c r="G156" s="6">
        <f t="shared" si="27"/>
        <v>-5120000</v>
      </c>
      <c r="H156" s="23">
        <f t="shared" si="27"/>
        <v>-5120000</v>
      </c>
    </row>
    <row r="157" spans="2:8" x14ac:dyDescent="0.25">
      <c r="B157" s="22" t="s">
        <v>27</v>
      </c>
      <c r="C157" s="6">
        <f>+C151</f>
        <v>-7200000</v>
      </c>
      <c r="D157" s="6">
        <f>+D151</f>
        <v>-1179000</v>
      </c>
      <c r="E157" s="6">
        <f t="shared" ref="E157:H157" si="28">+E151</f>
        <v>-1479000</v>
      </c>
      <c r="F157" s="6">
        <f t="shared" si="28"/>
        <v>-2379000</v>
      </c>
      <c r="G157" s="6">
        <f t="shared" si="28"/>
        <v>-2679000</v>
      </c>
      <c r="H157" s="23">
        <f t="shared" si="28"/>
        <v>-2979000</v>
      </c>
    </row>
    <row r="158" spans="2:8" x14ac:dyDescent="0.25">
      <c r="B158" s="22" t="s">
        <v>138</v>
      </c>
      <c r="C158" s="6">
        <f>+C95</f>
        <v>4000000</v>
      </c>
      <c r="D158" s="6"/>
      <c r="E158" s="6"/>
      <c r="F158" s="6"/>
      <c r="G158" s="6"/>
      <c r="H158" s="23"/>
    </row>
    <row r="159" spans="2:8" x14ac:dyDescent="0.25">
      <c r="B159" s="22" t="s">
        <v>2</v>
      </c>
      <c r="C159" s="6">
        <f>-C99</f>
        <v>-4000000</v>
      </c>
      <c r="D159" s="6"/>
      <c r="E159" s="6"/>
      <c r="F159" s="6"/>
      <c r="G159" s="6"/>
      <c r="H159" s="23"/>
    </row>
    <row r="160" spans="2:8" x14ac:dyDescent="0.25">
      <c r="B160" s="22" t="s">
        <v>141</v>
      </c>
      <c r="C160" s="6">
        <f>-C97*(1-D94)</f>
        <v>-700000</v>
      </c>
      <c r="D160" s="6"/>
      <c r="E160" s="6"/>
      <c r="F160" s="6"/>
      <c r="G160" s="6"/>
      <c r="H160" s="23"/>
    </row>
    <row r="161" spans="2:8" x14ac:dyDescent="0.25">
      <c r="B161" s="35" t="s">
        <v>189</v>
      </c>
      <c r="C161" s="59">
        <f>SUM(C155:C160)</f>
        <v>-7900000</v>
      </c>
      <c r="D161" s="59">
        <f>SUM(D155:D160)</f>
        <v>4751000</v>
      </c>
      <c r="E161" s="59">
        <f t="shared" ref="E161:H161" si="29">SUM(E155:E160)</f>
        <v>5451000</v>
      </c>
      <c r="F161" s="59">
        <f t="shared" si="29"/>
        <v>5551000</v>
      </c>
      <c r="G161" s="59">
        <f t="shared" si="29"/>
        <v>6251000</v>
      </c>
      <c r="H161" s="36">
        <f t="shared" si="29"/>
        <v>6951000</v>
      </c>
    </row>
    <row r="163" spans="2:8" x14ac:dyDescent="0.25">
      <c r="B163" s="68"/>
      <c r="C163" s="90">
        <v>2020</v>
      </c>
      <c r="D163" s="90">
        <v>2021</v>
      </c>
      <c r="E163" s="90">
        <v>2022</v>
      </c>
      <c r="F163" s="90">
        <v>2023</v>
      </c>
      <c r="G163" s="90">
        <v>2024</v>
      </c>
      <c r="H163" s="91">
        <v>2025</v>
      </c>
    </row>
    <row r="164" spans="2:8" x14ac:dyDescent="0.25">
      <c r="B164" s="22" t="s">
        <v>189</v>
      </c>
      <c r="C164" s="6">
        <f>+C161</f>
        <v>-7900000</v>
      </c>
      <c r="D164" s="6">
        <f t="shared" ref="D164:H164" si="30">+D161</f>
        <v>4751000</v>
      </c>
      <c r="E164" s="6">
        <f t="shared" si="30"/>
        <v>5451000</v>
      </c>
      <c r="F164" s="6">
        <f t="shared" si="30"/>
        <v>5551000</v>
      </c>
      <c r="G164" s="6">
        <f t="shared" si="30"/>
        <v>6251000</v>
      </c>
      <c r="H164" s="23">
        <f t="shared" si="30"/>
        <v>6951000</v>
      </c>
    </row>
    <row r="165" spans="2:8" x14ac:dyDescent="0.25">
      <c r="B165" s="22" t="s">
        <v>190</v>
      </c>
      <c r="C165" s="6">
        <f>+C141</f>
        <v>0</v>
      </c>
      <c r="D165" s="6">
        <f t="shared" ref="D165:H165" si="31">+D141</f>
        <v>5950000</v>
      </c>
      <c r="E165" s="6">
        <f t="shared" si="31"/>
        <v>6300000</v>
      </c>
      <c r="F165" s="6">
        <f t="shared" si="31"/>
        <v>6650000</v>
      </c>
      <c r="G165" s="6">
        <f t="shared" si="31"/>
        <v>7000000</v>
      </c>
      <c r="H165" s="23">
        <f t="shared" si="31"/>
        <v>7350000</v>
      </c>
    </row>
    <row r="166" spans="2:8" ht="6.6" customHeight="1" x14ac:dyDescent="0.25">
      <c r="B166" s="22"/>
      <c r="C166" s="6"/>
      <c r="D166" s="6"/>
      <c r="E166" s="6"/>
      <c r="F166" s="6"/>
      <c r="G166" s="6"/>
      <c r="H166" s="23"/>
    </row>
    <row r="167" spans="2:8" x14ac:dyDescent="0.25">
      <c r="B167" s="35" t="s">
        <v>191</v>
      </c>
      <c r="C167" s="59">
        <f>+C164-C165</f>
        <v>-7900000</v>
      </c>
      <c r="D167" s="59">
        <f t="shared" ref="D167:H167" si="32">+D164-D165</f>
        <v>-1199000</v>
      </c>
      <c r="E167" s="59">
        <f t="shared" si="32"/>
        <v>-849000</v>
      </c>
      <c r="F167" s="59">
        <f t="shared" si="32"/>
        <v>-1099000</v>
      </c>
      <c r="G167" s="59">
        <f t="shared" si="32"/>
        <v>-749000</v>
      </c>
      <c r="H167" s="36">
        <f t="shared" si="32"/>
        <v>-399000</v>
      </c>
    </row>
    <row r="170" spans="2:8" x14ac:dyDescent="0.25">
      <c r="B170" s="60" t="s">
        <v>263</v>
      </c>
      <c r="C170" s="191"/>
    </row>
  </sheetData>
  <sheetProtection algorithmName="SHA-512" hashValue="zAo8WjTPMXt4BZxJkVxsl1j+A2p4/SR1SSnHA3zE3W7lJIwfGfGLGBbgKYjSfQrpUbCBW33U97JmrzWL4lrMyw==" saltValue="iWw52rnxoyAtWajGMJq6zg==" spinCount="100000" sheet="1" objects="1" scenarios="1"/>
  <mergeCells count="21">
    <mergeCell ref="B1:H1"/>
    <mergeCell ref="D86:H86"/>
    <mergeCell ref="D9:H9"/>
    <mergeCell ref="D10:H10"/>
    <mergeCell ref="F11:H11"/>
    <mergeCell ref="D12:F12"/>
    <mergeCell ref="D13:H13"/>
    <mergeCell ref="G14:H14"/>
    <mergeCell ref="G15:H15"/>
    <mergeCell ref="D16:H16"/>
    <mergeCell ref="D85:H85"/>
    <mergeCell ref="B3:H5"/>
    <mergeCell ref="B79:H81"/>
    <mergeCell ref="D93:E93"/>
    <mergeCell ref="D94:H94"/>
    <mergeCell ref="D87:H87"/>
    <mergeCell ref="D88:H88"/>
    <mergeCell ref="D89:H89"/>
    <mergeCell ref="D90:H90"/>
    <mergeCell ref="D91:H91"/>
    <mergeCell ref="D92:H92"/>
  </mergeCells>
  <pageMargins left="0.7" right="0.7" top="0.75" bottom="0.75" header="0.3" footer="0.3"/>
  <pageSetup orientation="portrait" horizontalDpi="360" verticalDpi="360" r:id="rId1"/>
  <ignoredErrors>
    <ignoredError sqref="C56 C38 C7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4"/>
  <sheetViews>
    <sheetView topLeftCell="A145" workbookViewId="0">
      <selection activeCell="D179" sqref="D179"/>
    </sheetView>
  </sheetViews>
  <sheetFormatPr baseColWidth="10" defaultColWidth="11.44140625" defaultRowHeight="13.8" x14ac:dyDescent="0.25"/>
  <cols>
    <col min="1" max="1" width="26" style="4" customWidth="1"/>
    <col min="2" max="2" width="31.6640625" style="4" customWidth="1"/>
    <col min="3" max="3" width="15.33203125" style="4" customWidth="1"/>
    <col min="4" max="4" width="26" style="4" customWidth="1"/>
    <col min="5" max="8" width="15.88671875" style="4" bestFit="1" customWidth="1"/>
    <col min="9" max="9" width="11.6640625" style="4" bestFit="1" customWidth="1"/>
    <col min="10" max="10" width="13.6640625" style="4" bestFit="1" customWidth="1"/>
    <col min="11" max="16384" width="11.44140625" style="4"/>
  </cols>
  <sheetData>
    <row r="1" spans="1:8" ht="19.95" customHeight="1" x14ac:dyDescent="0.25">
      <c r="B1" s="204" t="s">
        <v>244</v>
      </c>
      <c r="C1" s="204"/>
      <c r="D1" s="204"/>
      <c r="E1" s="204"/>
      <c r="F1" s="204"/>
      <c r="G1" s="204"/>
      <c r="H1" s="204"/>
    </row>
    <row r="3" spans="1:8" x14ac:dyDescent="0.25">
      <c r="A3" s="71" t="s">
        <v>205</v>
      </c>
      <c r="B3" s="39" t="s">
        <v>86</v>
      </c>
      <c r="C3" s="106">
        <f>1-C4</f>
        <v>0.375</v>
      </c>
    </row>
    <row r="4" spans="1:8" x14ac:dyDescent="0.25">
      <c r="B4" s="38" t="s">
        <v>92</v>
      </c>
      <c r="C4" s="37">
        <f>1/(1+C43)</f>
        <v>0.625</v>
      </c>
    </row>
    <row r="6" spans="1:8" x14ac:dyDescent="0.25">
      <c r="B6" s="41" t="s">
        <v>94</v>
      </c>
      <c r="C6" s="121"/>
      <c r="D6" s="133"/>
    </row>
    <row r="7" spans="1:8" ht="16.2" x14ac:dyDescent="0.35">
      <c r="B7" s="43" t="s">
        <v>238</v>
      </c>
      <c r="C7" s="6">
        <v>1.07</v>
      </c>
      <c r="D7" s="23" t="s">
        <v>149</v>
      </c>
    </row>
    <row r="8" spans="1:8" ht="16.2" x14ac:dyDescent="0.35">
      <c r="B8" s="43" t="s">
        <v>239</v>
      </c>
      <c r="C8" s="6">
        <f>+(1+((C3/C4)*(1-D40)))*C7</f>
        <v>1.5194000000000001</v>
      </c>
      <c r="D8" s="23"/>
    </row>
    <row r="9" spans="1:8" ht="16.2" x14ac:dyDescent="0.35">
      <c r="B9" s="44" t="s">
        <v>240</v>
      </c>
      <c r="C9" s="136">
        <v>1.43E-2</v>
      </c>
      <c r="D9" s="139">
        <v>44013</v>
      </c>
    </row>
    <row r="10" spans="1:8" ht="16.2" x14ac:dyDescent="0.35">
      <c r="B10" s="44" t="s">
        <v>241</v>
      </c>
      <c r="C10" s="136">
        <v>4.8300000000000003E-2</v>
      </c>
      <c r="D10" s="85" t="s">
        <v>95</v>
      </c>
    </row>
    <row r="11" spans="1:8" x14ac:dyDescent="0.25">
      <c r="B11" s="25" t="s">
        <v>93</v>
      </c>
      <c r="C11" s="138">
        <v>1.4500000000000001E-2</v>
      </c>
      <c r="D11" s="140">
        <v>44013</v>
      </c>
    </row>
    <row r="13" spans="1:8" x14ac:dyDescent="0.25">
      <c r="B13" s="41" t="s">
        <v>96</v>
      </c>
      <c r="C13" s="42"/>
    </row>
    <row r="14" spans="1:8" x14ac:dyDescent="0.25">
      <c r="B14" s="46" t="s">
        <v>99</v>
      </c>
      <c r="C14" s="45">
        <f>+C9+(C7*C10)+C11</f>
        <v>8.0481000000000011E-2</v>
      </c>
    </row>
    <row r="15" spans="1:8" x14ac:dyDescent="0.25">
      <c r="B15" s="131" t="s">
        <v>100</v>
      </c>
      <c r="C15" s="132">
        <f>+C9+(C8*C10)+C11</f>
        <v>0.10218702</v>
      </c>
    </row>
    <row r="17" spans="1:6" x14ac:dyDescent="0.25">
      <c r="B17" s="41" t="s">
        <v>97</v>
      </c>
      <c r="C17" s="42"/>
    </row>
    <row r="18" spans="1:6" x14ac:dyDescent="0.25">
      <c r="B18" s="46" t="s">
        <v>86</v>
      </c>
      <c r="C18" s="45">
        <f>+C3</f>
        <v>0.375</v>
      </c>
    </row>
    <row r="19" spans="1:6" x14ac:dyDescent="0.25">
      <c r="B19" s="46" t="s">
        <v>81</v>
      </c>
      <c r="C19" s="45">
        <f>+C42</f>
        <v>0.1</v>
      </c>
    </row>
    <row r="20" spans="1:6" x14ac:dyDescent="0.25">
      <c r="B20" s="46" t="s">
        <v>98</v>
      </c>
      <c r="C20" s="45">
        <f>+D40</f>
        <v>0.3</v>
      </c>
    </row>
    <row r="21" spans="1:6" x14ac:dyDescent="0.25">
      <c r="B21" s="46" t="s">
        <v>92</v>
      </c>
      <c r="C21" s="45">
        <f>+C4</f>
        <v>0.625</v>
      </c>
    </row>
    <row r="22" spans="1:6" x14ac:dyDescent="0.25">
      <c r="B22" s="46" t="s">
        <v>100</v>
      </c>
      <c r="C22" s="45">
        <f>+C15</f>
        <v>0.10218702</v>
      </c>
    </row>
    <row r="23" spans="1:6" ht="4.2" customHeight="1" x14ac:dyDescent="0.25">
      <c r="B23" s="22"/>
      <c r="C23" s="23"/>
    </row>
    <row r="24" spans="1:6" x14ac:dyDescent="0.25">
      <c r="B24" s="54" t="s">
        <v>101</v>
      </c>
      <c r="C24" s="130">
        <f>+C18*C19*(1-C20)+C21*C22</f>
        <v>9.0116887499999992E-2</v>
      </c>
      <c r="F24" s="70"/>
    </row>
    <row r="26" spans="1:6" x14ac:dyDescent="0.25">
      <c r="A26" s="71" t="s">
        <v>206</v>
      </c>
      <c r="E26" s="98"/>
    </row>
    <row r="27" spans="1:6" ht="14.4" customHeight="1" x14ac:dyDescent="0.25">
      <c r="B27" s="205" t="s">
        <v>112</v>
      </c>
      <c r="C27" s="206"/>
      <c r="D27" s="207"/>
      <c r="E27" s="98"/>
    </row>
    <row r="28" spans="1:6" x14ac:dyDescent="0.25">
      <c r="B28" s="208"/>
      <c r="C28" s="209"/>
      <c r="D28" s="210"/>
    </row>
    <row r="29" spans="1:6" x14ac:dyDescent="0.25">
      <c r="B29" s="208"/>
      <c r="C29" s="209"/>
      <c r="D29" s="210"/>
    </row>
    <row r="30" spans="1:6" x14ac:dyDescent="0.25">
      <c r="B30" s="127"/>
      <c r="C30" s="29" t="s">
        <v>0</v>
      </c>
      <c r="D30" s="30" t="s">
        <v>163</v>
      </c>
    </row>
    <row r="31" spans="1:6" ht="15.6" x14ac:dyDescent="0.25">
      <c r="B31" s="22" t="s">
        <v>245</v>
      </c>
      <c r="C31" s="6"/>
      <c r="D31" s="107">
        <v>500</v>
      </c>
    </row>
    <row r="32" spans="1:6" ht="15.6" x14ac:dyDescent="0.25">
      <c r="B32" s="22" t="s">
        <v>246</v>
      </c>
      <c r="C32" s="6"/>
      <c r="D32" s="23">
        <v>5000</v>
      </c>
    </row>
    <row r="33" spans="2:8" ht="15.6" x14ac:dyDescent="0.25">
      <c r="B33" s="22" t="s">
        <v>247</v>
      </c>
      <c r="C33" s="6"/>
      <c r="D33" s="23">
        <v>3000</v>
      </c>
    </row>
    <row r="34" spans="2:8" x14ac:dyDescent="0.25">
      <c r="B34" s="22" t="s">
        <v>158</v>
      </c>
      <c r="C34" s="6"/>
      <c r="D34" s="23">
        <v>100000</v>
      </c>
    </row>
    <row r="35" spans="2:8" x14ac:dyDescent="0.25">
      <c r="B35" s="22" t="s">
        <v>145</v>
      </c>
      <c r="C35" s="6"/>
      <c r="D35" s="128">
        <v>5</v>
      </c>
    </row>
    <row r="36" spans="2:8" x14ac:dyDescent="0.25">
      <c r="B36" s="22" t="s">
        <v>147</v>
      </c>
      <c r="C36" s="6"/>
      <c r="D36" s="129">
        <v>200</v>
      </c>
    </row>
    <row r="37" spans="2:8" x14ac:dyDescent="0.25">
      <c r="B37" s="22" t="s">
        <v>47</v>
      </c>
      <c r="C37" s="6"/>
      <c r="D37" s="23">
        <f>(200*20)/1000</f>
        <v>4</v>
      </c>
    </row>
    <row r="38" spans="2:8" x14ac:dyDescent="0.25">
      <c r="B38" s="22" t="s">
        <v>146</v>
      </c>
      <c r="C38" s="6"/>
      <c r="D38" s="107">
        <f>+D31/D37</f>
        <v>125</v>
      </c>
    </row>
    <row r="39" spans="2:8" x14ac:dyDescent="0.25">
      <c r="B39" s="22" t="s">
        <v>48</v>
      </c>
      <c r="C39" s="6"/>
      <c r="D39" s="107">
        <f>+D36*D38</f>
        <v>25000</v>
      </c>
    </row>
    <row r="40" spans="2:8" x14ac:dyDescent="0.25">
      <c r="B40" s="22" t="s">
        <v>27</v>
      </c>
      <c r="C40" s="6"/>
      <c r="D40" s="24">
        <v>0.3</v>
      </c>
    </row>
    <row r="41" spans="2:8" x14ac:dyDescent="0.25">
      <c r="B41" s="22" t="s">
        <v>143</v>
      </c>
      <c r="C41" s="9">
        <v>0.1</v>
      </c>
      <c r="D41" s="23"/>
    </row>
    <row r="42" spans="2:8" x14ac:dyDescent="0.25">
      <c r="B42" s="22" t="s">
        <v>74</v>
      </c>
      <c r="C42" s="9">
        <v>0.1</v>
      </c>
      <c r="D42" s="23"/>
    </row>
    <row r="43" spans="2:8" x14ac:dyDescent="0.25">
      <c r="B43" s="22" t="s">
        <v>148</v>
      </c>
      <c r="C43" s="9">
        <v>0.6</v>
      </c>
      <c r="D43" s="23"/>
    </row>
    <row r="44" spans="2:8" x14ac:dyDescent="0.25">
      <c r="B44" s="25"/>
      <c r="C44" s="26"/>
      <c r="D44" s="27"/>
    </row>
    <row r="47" spans="2:8" x14ac:dyDescent="0.25">
      <c r="B47" s="60" t="s">
        <v>43</v>
      </c>
      <c r="C47" s="172"/>
      <c r="D47" s="172"/>
      <c r="E47" s="172"/>
      <c r="F47" s="172"/>
      <c r="G47" s="172"/>
      <c r="H47" s="69"/>
    </row>
    <row r="48" spans="2:8" x14ac:dyDescent="0.25">
      <c r="B48" s="111" t="s">
        <v>51</v>
      </c>
      <c r="C48" s="112" t="s">
        <v>0</v>
      </c>
      <c r="D48" s="112" t="s">
        <v>6</v>
      </c>
      <c r="E48" s="112" t="s">
        <v>7</v>
      </c>
      <c r="F48" s="112" t="s">
        <v>8</v>
      </c>
      <c r="G48" s="112" t="s">
        <v>1</v>
      </c>
      <c r="H48" s="113" t="s">
        <v>22</v>
      </c>
    </row>
    <row r="49" spans="2:8" x14ac:dyDescent="0.25">
      <c r="B49" s="22" t="s">
        <v>9</v>
      </c>
      <c r="C49" s="6"/>
      <c r="D49" s="8">
        <f>+$D$31*$D$32</f>
        <v>2500000</v>
      </c>
      <c r="E49" s="8">
        <f>+$D$31*$D$32</f>
        <v>2500000</v>
      </c>
      <c r="F49" s="8">
        <f>+$D$31*$D$32</f>
        <v>2500000</v>
      </c>
      <c r="G49" s="8">
        <f>+$D$31*$D$32</f>
        <v>2500000</v>
      </c>
      <c r="H49" s="107">
        <f>+$D$31*$D$32</f>
        <v>2500000</v>
      </c>
    </row>
    <row r="50" spans="2:8" x14ac:dyDescent="0.25">
      <c r="B50" s="22" t="s">
        <v>203</v>
      </c>
      <c r="C50" s="6"/>
      <c r="D50" s="8">
        <f>-$D$31*$D$33</f>
        <v>-1500000</v>
      </c>
      <c r="E50" s="8">
        <f>-$D$31*$D$33</f>
        <v>-1500000</v>
      </c>
      <c r="F50" s="8">
        <f>-$D$31*$D$33</f>
        <v>-1500000</v>
      </c>
      <c r="G50" s="8">
        <f>-$D$31*$D$33</f>
        <v>-1500000</v>
      </c>
      <c r="H50" s="107">
        <f>-$D$31*$D$33</f>
        <v>-1500000</v>
      </c>
    </row>
    <row r="51" spans="2:8" x14ac:dyDescent="0.25">
      <c r="B51" s="22" t="s">
        <v>144</v>
      </c>
      <c r="C51" s="6"/>
      <c r="D51" s="8">
        <f>-$D$34</f>
        <v>-100000</v>
      </c>
      <c r="E51" s="8">
        <f>-$D$34</f>
        <v>-100000</v>
      </c>
      <c r="F51" s="8">
        <f>-$D$34</f>
        <v>-100000</v>
      </c>
      <c r="G51" s="8">
        <f>-$D$34</f>
        <v>-100000</v>
      </c>
      <c r="H51" s="107">
        <f>-$D$34</f>
        <v>-100000</v>
      </c>
    </row>
    <row r="52" spans="2:8" x14ac:dyDescent="0.25">
      <c r="B52" s="22" t="s">
        <v>46</v>
      </c>
      <c r="C52" s="6"/>
      <c r="D52" s="8">
        <f>-$D$39*$D$35</f>
        <v>-125000</v>
      </c>
      <c r="E52" s="8">
        <f>-$D$39*$D$35</f>
        <v>-125000</v>
      </c>
      <c r="F52" s="8">
        <f>-$D$39*$D$35</f>
        <v>-125000</v>
      </c>
      <c r="G52" s="8">
        <f>-$D$39*$D$35</f>
        <v>-125000</v>
      </c>
      <c r="H52" s="107">
        <f>-$D$39*$D$35</f>
        <v>-125000</v>
      </c>
    </row>
    <row r="53" spans="2:8" x14ac:dyDescent="0.25">
      <c r="B53" s="22" t="s">
        <v>49</v>
      </c>
      <c r="C53" s="6"/>
      <c r="D53" s="8">
        <f>-SUM(D49:D52)*$D$40</f>
        <v>-232500</v>
      </c>
      <c r="E53" s="8">
        <f>-SUM(E49:E52)*$D$40</f>
        <v>-232500</v>
      </c>
      <c r="F53" s="8">
        <f>-SUM(F49:F52)*$D$40</f>
        <v>-232500</v>
      </c>
      <c r="G53" s="8">
        <f>-SUM(G49:G52)*$D$40</f>
        <v>-232500</v>
      </c>
      <c r="H53" s="107">
        <f>-SUM(H49:H52)*$D$40</f>
        <v>-232500</v>
      </c>
    </row>
    <row r="54" spans="2:8" x14ac:dyDescent="0.25">
      <c r="B54" s="35" t="s">
        <v>14</v>
      </c>
      <c r="C54" s="59"/>
      <c r="D54" s="108">
        <f>SUM(D49:D53)</f>
        <v>542500</v>
      </c>
      <c r="E54" s="108">
        <f>SUM(E49:E53)</f>
        <v>542500</v>
      </c>
      <c r="F54" s="108">
        <f>SUM(F49:F53)</f>
        <v>542500</v>
      </c>
      <c r="G54" s="108">
        <f>SUM(G49:G53)</f>
        <v>542500</v>
      </c>
      <c r="H54" s="109">
        <f>SUM(H49:H53)</f>
        <v>542500</v>
      </c>
    </row>
    <row r="56" spans="2:8" x14ac:dyDescent="0.25">
      <c r="B56" s="31" t="s">
        <v>15</v>
      </c>
      <c r="C56" s="58" t="s">
        <v>0</v>
      </c>
      <c r="D56" s="58" t="s">
        <v>6</v>
      </c>
      <c r="E56" s="58" t="s">
        <v>7</v>
      </c>
      <c r="F56" s="58" t="s">
        <v>8</v>
      </c>
      <c r="G56" s="58" t="s">
        <v>1</v>
      </c>
      <c r="H56" s="34" t="s">
        <v>22</v>
      </c>
    </row>
    <row r="57" spans="2:8" x14ac:dyDescent="0.25">
      <c r="B57" s="22" t="s">
        <v>16</v>
      </c>
      <c r="C57" s="6"/>
      <c r="D57" s="6">
        <f>+D54</f>
        <v>542500</v>
      </c>
      <c r="E57" s="6">
        <f t="shared" ref="E57:H57" si="0">+E54</f>
        <v>542500</v>
      </c>
      <c r="F57" s="6">
        <f t="shared" si="0"/>
        <v>542500</v>
      </c>
      <c r="G57" s="6">
        <f t="shared" si="0"/>
        <v>542500</v>
      </c>
      <c r="H57" s="23">
        <f t="shared" si="0"/>
        <v>542500</v>
      </c>
    </row>
    <row r="58" spans="2:8" x14ac:dyDescent="0.25">
      <c r="B58" s="22" t="s">
        <v>50</v>
      </c>
      <c r="C58" s="6"/>
      <c r="D58" s="6"/>
      <c r="E58" s="6"/>
      <c r="F58" s="6"/>
      <c r="G58" s="6"/>
      <c r="H58" s="23">
        <f>-SUM(C60:G60)</f>
        <v>250000</v>
      </c>
    </row>
    <row r="59" spans="2:8" x14ac:dyDescent="0.25">
      <c r="B59" s="22" t="s">
        <v>2</v>
      </c>
      <c r="C59" s="6">
        <f>+C60</f>
        <v>-250000</v>
      </c>
      <c r="D59" s="6">
        <f t="shared" ref="D59:G59" si="1">+D60</f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23"/>
    </row>
    <row r="60" spans="2:8" x14ac:dyDescent="0.25">
      <c r="B60" s="22" t="s">
        <v>20</v>
      </c>
      <c r="C60" s="6">
        <f>-(D49-C49)*C41</f>
        <v>-250000</v>
      </c>
      <c r="D60" s="6"/>
      <c r="E60" s="6"/>
      <c r="F60" s="6"/>
      <c r="G60" s="6"/>
      <c r="H60" s="23"/>
    </row>
    <row r="61" spans="2:8" x14ac:dyDescent="0.25">
      <c r="B61" s="35" t="s">
        <v>21</v>
      </c>
      <c r="C61" s="59">
        <f t="shared" ref="C61:H61" si="2">SUM(C57:C59)</f>
        <v>-250000</v>
      </c>
      <c r="D61" s="59">
        <f t="shared" si="2"/>
        <v>542500</v>
      </c>
      <c r="E61" s="59">
        <f t="shared" si="2"/>
        <v>542500</v>
      </c>
      <c r="F61" s="59">
        <f t="shared" si="2"/>
        <v>542500</v>
      </c>
      <c r="G61" s="59">
        <f t="shared" si="2"/>
        <v>542500</v>
      </c>
      <c r="H61" s="36">
        <f t="shared" si="2"/>
        <v>792500</v>
      </c>
    </row>
    <row r="63" spans="2:8" x14ac:dyDescent="0.25">
      <c r="B63" s="68" t="s">
        <v>61</v>
      </c>
      <c r="C63" s="56">
        <f>+C61+NPV(C24,D61:H61)</f>
        <v>2021891.7471373114</v>
      </c>
    </row>
    <row r="64" spans="2:8" ht="14.4" thickBot="1" x14ac:dyDescent="0.3"/>
    <row r="65" spans="2:5" ht="14.4" customHeight="1" x14ac:dyDescent="0.25">
      <c r="B65" s="219" t="s">
        <v>129</v>
      </c>
      <c r="C65" s="220"/>
      <c r="D65" s="220"/>
      <c r="E65" s="221"/>
    </row>
    <row r="66" spans="2:5" x14ac:dyDescent="0.25">
      <c r="B66" s="222"/>
      <c r="C66" s="209"/>
      <c r="D66" s="209"/>
      <c r="E66" s="223"/>
    </row>
    <row r="67" spans="2:5" x14ac:dyDescent="0.25">
      <c r="B67" s="222"/>
      <c r="C67" s="209"/>
      <c r="D67" s="209"/>
      <c r="E67" s="223"/>
    </row>
    <row r="68" spans="2:5" ht="3.6" customHeight="1" x14ac:dyDescent="0.25">
      <c r="B68" s="222"/>
      <c r="C68" s="209"/>
      <c r="D68" s="209"/>
      <c r="E68" s="223"/>
    </row>
    <row r="69" spans="2:5" x14ac:dyDescent="0.25">
      <c r="B69" s="28"/>
      <c r="C69" s="29" t="s">
        <v>0</v>
      </c>
      <c r="D69" s="29" t="s">
        <v>163</v>
      </c>
      <c r="E69" s="125"/>
    </row>
    <row r="70" spans="2:5" x14ac:dyDescent="0.25">
      <c r="B70" s="5" t="s">
        <v>156</v>
      </c>
      <c r="C70" s="6"/>
      <c r="D70" s="8">
        <v>1000</v>
      </c>
      <c r="E70" s="7"/>
    </row>
    <row r="71" spans="2:5" ht="15.6" x14ac:dyDescent="0.25">
      <c r="B71" s="5" t="s">
        <v>248</v>
      </c>
      <c r="C71" s="6"/>
      <c r="D71" s="6">
        <v>3000</v>
      </c>
      <c r="E71" s="7"/>
    </row>
    <row r="72" spans="2:5" x14ac:dyDescent="0.25">
      <c r="B72" s="5" t="s">
        <v>157</v>
      </c>
      <c r="C72" s="82"/>
      <c r="D72" s="6">
        <v>2000000</v>
      </c>
      <c r="E72" s="7"/>
    </row>
    <row r="73" spans="2:5" ht="15.6" x14ac:dyDescent="0.25">
      <c r="B73" s="5" t="s">
        <v>245</v>
      </c>
      <c r="C73" s="6"/>
      <c r="D73" s="8">
        <v>500</v>
      </c>
      <c r="E73" s="7"/>
    </row>
    <row r="74" spans="2:5" ht="15.6" x14ac:dyDescent="0.25">
      <c r="B74" s="5" t="s">
        <v>246</v>
      </c>
      <c r="C74" s="6"/>
      <c r="D74" s="6">
        <v>5000</v>
      </c>
      <c r="E74" s="7"/>
    </row>
    <row r="75" spans="2:5" ht="15.6" x14ac:dyDescent="0.25">
      <c r="B75" s="5" t="s">
        <v>249</v>
      </c>
      <c r="C75" s="6"/>
      <c r="D75" s="6">
        <v>2100</v>
      </c>
      <c r="E75" s="7"/>
    </row>
    <row r="76" spans="2:5" x14ac:dyDescent="0.25">
      <c r="B76" s="5" t="s">
        <v>25</v>
      </c>
      <c r="C76" s="6"/>
      <c r="D76" s="6">
        <v>1500000</v>
      </c>
      <c r="E76" s="7"/>
    </row>
    <row r="77" spans="2:5" x14ac:dyDescent="0.25">
      <c r="B77" s="5" t="s">
        <v>133</v>
      </c>
      <c r="C77" s="6"/>
      <c r="D77" s="9">
        <v>0.2</v>
      </c>
      <c r="E77" s="7"/>
    </row>
    <row r="78" spans="2:5" x14ac:dyDescent="0.25">
      <c r="B78" s="5" t="s">
        <v>155</v>
      </c>
      <c r="C78" s="100">
        <v>6000000</v>
      </c>
      <c r="D78" s="6"/>
      <c r="E78" s="7"/>
    </row>
    <row r="79" spans="2:5" x14ac:dyDescent="0.25">
      <c r="B79" s="5" t="s">
        <v>152</v>
      </c>
      <c r="C79" s="100">
        <f>C78*20%*2</f>
        <v>2400000</v>
      </c>
      <c r="D79" s="6"/>
      <c r="E79" s="7"/>
    </row>
    <row r="80" spans="2:5" x14ac:dyDescent="0.25">
      <c r="B80" s="5" t="s">
        <v>153</v>
      </c>
      <c r="C80" s="100">
        <f>C78*0.5</f>
        <v>3000000</v>
      </c>
      <c r="D80" s="6"/>
      <c r="E80" s="7"/>
    </row>
    <row r="81" spans="2:9" x14ac:dyDescent="0.25">
      <c r="B81" s="5" t="s">
        <v>154</v>
      </c>
      <c r="C81" s="6"/>
      <c r="D81" s="9">
        <v>0.1</v>
      </c>
      <c r="E81" s="7"/>
    </row>
    <row r="82" spans="2:9" x14ac:dyDescent="0.25">
      <c r="B82" s="5" t="s">
        <v>150</v>
      </c>
      <c r="C82" s="8">
        <v>11000000</v>
      </c>
      <c r="D82" s="6"/>
      <c r="E82" s="7"/>
    </row>
    <row r="83" spans="2:9" x14ac:dyDescent="0.25">
      <c r="B83" s="5" t="s">
        <v>151</v>
      </c>
      <c r="C83" s="6"/>
      <c r="D83" s="9">
        <v>0.4</v>
      </c>
      <c r="E83" s="7" t="s">
        <v>22</v>
      </c>
    </row>
    <row r="84" spans="2:9" x14ac:dyDescent="0.25">
      <c r="B84" s="5" t="s">
        <v>143</v>
      </c>
      <c r="C84" s="9">
        <v>0.08</v>
      </c>
      <c r="D84" s="6"/>
      <c r="E84" s="7"/>
    </row>
    <row r="85" spans="2:9" x14ac:dyDescent="0.25">
      <c r="B85" s="5" t="s">
        <v>27</v>
      </c>
      <c r="C85" s="6"/>
      <c r="D85" s="9">
        <v>0.3</v>
      </c>
      <c r="E85" s="7"/>
    </row>
    <row r="86" spans="2:9" x14ac:dyDescent="0.25">
      <c r="B86" s="5" t="s">
        <v>74</v>
      </c>
      <c r="C86" s="9">
        <v>0.1</v>
      </c>
      <c r="D86" s="6"/>
      <c r="E86" s="7"/>
    </row>
    <row r="87" spans="2:9" x14ac:dyDescent="0.25">
      <c r="B87" s="5" t="s">
        <v>148</v>
      </c>
      <c r="C87" s="9">
        <v>0.6</v>
      </c>
      <c r="D87" s="6"/>
      <c r="E87" s="7"/>
    </row>
    <row r="88" spans="2:9" ht="14.4" thickBot="1" x14ac:dyDescent="0.3">
      <c r="B88" s="10"/>
      <c r="C88" s="11"/>
      <c r="D88" s="11"/>
      <c r="E88" s="12"/>
    </row>
    <row r="91" spans="2:9" x14ac:dyDescent="0.25">
      <c r="B91" s="60" t="s">
        <v>44</v>
      </c>
      <c r="C91" s="172"/>
      <c r="D91" s="172"/>
      <c r="E91" s="172"/>
      <c r="F91" s="172"/>
      <c r="G91" s="172"/>
      <c r="H91" s="69"/>
    </row>
    <row r="92" spans="2:9" x14ac:dyDescent="0.25">
      <c r="B92" s="31" t="s">
        <v>51</v>
      </c>
      <c r="C92" s="58" t="s">
        <v>0</v>
      </c>
      <c r="D92" s="58" t="s">
        <v>6</v>
      </c>
      <c r="E92" s="58" t="s">
        <v>7</v>
      </c>
      <c r="F92" s="58" t="s">
        <v>8</v>
      </c>
      <c r="G92" s="58" t="s">
        <v>1</v>
      </c>
      <c r="H92" s="34" t="s">
        <v>22</v>
      </c>
    </row>
    <row r="93" spans="2:9" x14ac:dyDescent="0.25">
      <c r="B93" s="22" t="s">
        <v>9</v>
      </c>
      <c r="C93" s="8"/>
      <c r="D93" s="110">
        <f>+$D$73*$D$74</f>
        <v>2500000</v>
      </c>
      <c r="E93" s="8">
        <f t="shared" ref="E93:H93" si="3">+$D$73*$D$74</f>
        <v>2500000</v>
      </c>
      <c r="F93" s="8">
        <f t="shared" si="3"/>
        <v>2500000</v>
      </c>
      <c r="G93" s="8">
        <f t="shared" si="3"/>
        <v>2500000</v>
      </c>
      <c r="H93" s="107">
        <f t="shared" si="3"/>
        <v>2500000</v>
      </c>
      <c r="I93" s="99"/>
    </row>
    <row r="94" spans="2:9" x14ac:dyDescent="0.25">
      <c r="B94" s="22" t="s">
        <v>10</v>
      </c>
      <c r="C94" s="8">
        <f>+C80-C79</f>
        <v>600000</v>
      </c>
      <c r="D94" s="110"/>
      <c r="E94" s="8"/>
      <c r="F94" s="8"/>
      <c r="G94" s="8"/>
      <c r="H94" s="107">
        <f>+(-C78*D81)+C82*D83</f>
        <v>3800000</v>
      </c>
      <c r="I94" s="99"/>
    </row>
    <row r="95" spans="2:9" x14ac:dyDescent="0.25">
      <c r="B95" s="22" t="s">
        <v>203</v>
      </c>
      <c r="C95" s="8"/>
      <c r="D95" s="8">
        <f>-$D$73*$D$75</f>
        <v>-1050000</v>
      </c>
      <c r="E95" s="8">
        <f t="shared" ref="E95:H95" si="4">-$D$73*$D$75</f>
        <v>-1050000</v>
      </c>
      <c r="F95" s="8">
        <f t="shared" si="4"/>
        <v>-1050000</v>
      </c>
      <c r="G95" s="8">
        <f t="shared" si="4"/>
        <v>-1050000</v>
      </c>
      <c r="H95" s="107">
        <f t="shared" si="4"/>
        <v>-1050000</v>
      </c>
      <c r="I95" s="99"/>
    </row>
    <row r="96" spans="2:9" x14ac:dyDescent="0.25">
      <c r="B96" s="22" t="s">
        <v>204</v>
      </c>
      <c r="C96" s="8"/>
      <c r="D96" s="8">
        <f>+$D$70*($D$71-$D$75)</f>
        <v>900000</v>
      </c>
      <c r="E96" s="8">
        <f t="shared" ref="E96:H96" si="5">+$D$70*($D$71-$D$75)</f>
        <v>900000</v>
      </c>
      <c r="F96" s="8">
        <f t="shared" si="5"/>
        <v>900000</v>
      </c>
      <c r="G96" s="8">
        <f t="shared" si="5"/>
        <v>900000</v>
      </c>
      <c r="H96" s="107">
        <f t="shared" si="5"/>
        <v>900000</v>
      </c>
      <c r="I96" s="99"/>
    </row>
    <row r="97" spans="2:9" x14ac:dyDescent="0.25">
      <c r="B97" s="22" t="s">
        <v>52</v>
      </c>
      <c r="C97" s="8"/>
      <c r="D97" s="8">
        <f>(+$D$72-$D$76)</f>
        <v>500000</v>
      </c>
      <c r="E97" s="8">
        <f t="shared" ref="E97:H97" si="6">(+$D$72-$D$76)</f>
        <v>500000</v>
      </c>
      <c r="F97" s="8">
        <f t="shared" si="6"/>
        <v>500000</v>
      </c>
      <c r="G97" s="8">
        <f t="shared" si="6"/>
        <v>500000</v>
      </c>
      <c r="H97" s="107">
        <f t="shared" si="6"/>
        <v>500000</v>
      </c>
      <c r="I97" s="99"/>
    </row>
    <row r="98" spans="2:9" x14ac:dyDescent="0.25">
      <c r="B98" s="22" t="s">
        <v>53</v>
      </c>
      <c r="C98" s="8"/>
      <c r="D98" s="8">
        <f>-$C$82*$D$77</f>
        <v>-2200000</v>
      </c>
      <c r="E98" s="8">
        <f t="shared" ref="E98:H98" si="7">-$C$82*$D$77</f>
        <v>-2200000</v>
      </c>
      <c r="F98" s="8">
        <f t="shared" si="7"/>
        <v>-2200000</v>
      </c>
      <c r="G98" s="8">
        <f t="shared" si="7"/>
        <v>-2200000</v>
      </c>
      <c r="H98" s="107">
        <f t="shared" si="7"/>
        <v>-2200000</v>
      </c>
      <c r="I98" s="99"/>
    </row>
    <row r="99" spans="2:9" x14ac:dyDescent="0.25">
      <c r="B99" s="22" t="s">
        <v>54</v>
      </c>
      <c r="C99" s="8"/>
      <c r="D99" s="8">
        <f>+$C$78*$D$77</f>
        <v>1200000</v>
      </c>
      <c r="E99" s="8">
        <f>+$C$78*$D$77</f>
        <v>1200000</v>
      </c>
      <c r="F99" s="8"/>
      <c r="G99" s="8"/>
      <c r="H99" s="107"/>
      <c r="I99" s="99"/>
    </row>
    <row r="100" spans="2:9" x14ac:dyDescent="0.25">
      <c r="B100" s="22" t="s">
        <v>49</v>
      </c>
      <c r="C100" s="8">
        <f>-SUM(C93:C99)*$D$85</f>
        <v>-180000</v>
      </c>
      <c r="D100" s="8">
        <f>-SUM(D93:D99)*$D$85</f>
        <v>-555000</v>
      </c>
      <c r="E100" s="8">
        <f t="shared" ref="E100:H100" si="8">-SUM(E93:E99)*$D$85</f>
        <v>-555000</v>
      </c>
      <c r="F100" s="8">
        <f t="shared" si="8"/>
        <v>-195000</v>
      </c>
      <c r="G100" s="8">
        <f>-SUM(G93:G99)*$D$85</f>
        <v>-195000</v>
      </c>
      <c r="H100" s="107">
        <f t="shared" si="8"/>
        <v>-1335000</v>
      </c>
      <c r="I100" s="99"/>
    </row>
    <row r="101" spans="2:9" x14ac:dyDescent="0.25">
      <c r="B101" s="35" t="s">
        <v>14</v>
      </c>
      <c r="C101" s="108">
        <f>SUM(C93:C100)</f>
        <v>420000</v>
      </c>
      <c r="D101" s="108">
        <f>SUM(D93:D100)</f>
        <v>1295000</v>
      </c>
      <c r="E101" s="108">
        <f t="shared" ref="E101:H101" si="9">SUM(E93:E100)</f>
        <v>1295000</v>
      </c>
      <c r="F101" s="108">
        <f t="shared" si="9"/>
        <v>455000</v>
      </c>
      <c r="G101" s="108">
        <f t="shared" si="9"/>
        <v>455000</v>
      </c>
      <c r="H101" s="109">
        <f t="shared" si="9"/>
        <v>3115000</v>
      </c>
      <c r="I101" s="99"/>
    </row>
    <row r="102" spans="2:9" x14ac:dyDescent="0.25">
      <c r="B102" s="13"/>
      <c r="C102" s="13"/>
      <c r="D102" s="13"/>
      <c r="E102" s="13"/>
      <c r="F102" s="13"/>
      <c r="G102" s="13"/>
      <c r="H102" s="13"/>
      <c r="I102" s="99"/>
    </row>
    <row r="103" spans="2:9" x14ac:dyDescent="0.25">
      <c r="B103" s="31" t="s">
        <v>210</v>
      </c>
      <c r="C103" s="58" t="s">
        <v>0</v>
      </c>
      <c r="D103" s="58" t="s">
        <v>6</v>
      </c>
      <c r="E103" s="58" t="s">
        <v>7</v>
      </c>
      <c r="F103" s="58" t="s">
        <v>8</v>
      </c>
      <c r="G103" s="58" t="s">
        <v>1</v>
      </c>
      <c r="H103" s="34" t="s">
        <v>22</v>
      </c>
      <c r="I103" s="99"/>
    </row>
    <row r="104" spans="2:9" x14ac:dyDescent="0.25">
      <c r="B104" s="22" t="s">
        <v>16</v>
      </c>
      <c r="C104" s="8">
        <f>+C101</f>
        <v>420000</v>
      </c>
      <c r="D104" s="8">
        <f>+D101</f>
        <v>1295000</v>
      </c>
      <c r="E104" s="8">
        <f t="shared" ref="E104:H104" si="10">+E101</f>
        <v>1295000</v>
      </c>
      <c r="F104" s="8">
        <f t="shared" si="10"/>
        <v>455000</v>
      </c>
      <c r="G104" s="8">
        <f t="shared" si="10"/>
        <v>455000</v>
      </c>
      <c r="H104" s="107">
        <f t="shared" si="10"/>
        <v>3115000</v>
      </c>
      <c r="I104" s="99"/>
    </row>
    <row r="105" spans="2:9" x14ac:dyDescent="0.25">
      <c r="B105" s="22" t="s">
        <v>17</v>
      </c>
      <c r="C105" s="8"/>
      <c r="D105" s="8">
        <f>-D98-D99</f>
        <v>1000000</v>
      </c>
      <c r="E105" s="8">
        <f t="shared" ref="E105:H105" si="11">-E98-E99</f>
        <v>1000000</v>
      </c>
      <c r="F105" s="8">
        <f t="shared" si="11"/>
        <v>2200000</v>
      </c>
      <c r="G105" s="8">
        <f t="shared" si="11"/>
        <v>2200000</v>
      </c>
      <c r="H105" s="107">
        <f t="shared" si="11"/>
        <v>2200000</v>
      </c>
      <c r="I105" s="99"/>
    </row>
    <row r="106" spans="2:9" x14ac:dyDescent="0.25">
      <c r="B106" s="22" t="s">
        <v>18</v>
      </c>
      <c r="C106" s="8">
        <f>+C79</f>
        <v>2400000</v>
      </c>
      <c r="D106" s="8"/>
      <c r="E106" s="8"/>
      <c r="F106" s="8"/>
      <c r="G106" s="8"/>
      <c r="H106" s="107">
        <v>0</v>
      </c>
      <c r="I106" s="99"/>
    </row>
    <row r="107" spans="2:9" x14ac:dyDescent="0.25">
      <c r="B107" s="22" t="s">
        <v>50</v>
      </c>
      <c r="C107" s="8"/>
      <c r="D107" s="8"/>
      <c r="E107" s="8"/>
      <c r="F107" s="8"/>
      <c r="G107" s="8"/>
      <c r="H107" s="107">
        <f>-SUM(C110:G110)</f>
        <v>99999.999999999985</v>
      </c>
      <c r="I107" s="99"/>
    </row>
    <row r="108" spans="2:9" x14ac:dyDescent="0.25">
      <c r="B108" s="22" t="s">
        <v>2</v>
      </c>
      <c r="C108" s="8">
        <f>SUM(C109:C110)</f>
        <v>-11100000</v>
      </c>
      <c r="D108" s="8">
        <f t="shared" ref="D108:G108" si="12">SUM(D109:D110)</f>
        <v>0</v>
      </c>
      <c r="E108" s="8">
        <f t="shared" si="12"/>
        <v>0</v>
      </c>
      <c r="F108" s="8">
        <f t="shared" si="12"/>
        <v>0</v>
      </c>
      <c r="G108" s="8">
        <f t="shared" si="12"/>
        <v>0</v>
      </c>
      <c r="H108" s="107"/>
      <c r="I108" s="99"/>
    </row>
    <row r="109" spans="2:9" x14ac:dyDescent="0.25">
      <c r="B109" s="22" t="s">
        <v>19</v>
      </c>
      <c r="C109" s="8">
        <f>-C82</f>
        <v>-11000000</v>
      </c>
      <c r="D109" s="8"/>
      <c r="E109" s="8"/>
      <c r="F109" s="8"/>
      <c r="G109" s="8"/>
      <c r="H109" s="107"/>
      <c r="I109" s="99"/>
    </row>
    <row r="110" spans="2:9" x14ac:dyDescent="0.25">
      <c r="B110" s="22" t="s">
        <v>20</v>
      </c>
      <c r="C110" s="8">
        <f>-(D93-C93)*C84+D70*D74*(C41-C84)</f>
        <v>-99999.999999999985</v>
      </c>
      <c r="D110" s="8">
        <f>-(E93-D93)*$E$26</f>
        <v>0</v>
      </c>
      <c r="E110" s="8">
        <f>-(F93-E93)*$E$26</f>
        <v>0</v>
      </c>
      <c r="F110" s="8">
        <f>-(G93-F93)*$E$26</f>
        <v>0</v>
      </c>
      <c r="G110" s="8">
        <f>-(H93-G93)*$E$26</f>
        <v>0</v>
      </c>
      <c r="H110" s="107"/>
      <c r="I110" s="99"/>
    </row>
    <row r="111" spans="2:9" x14ac:dyDescent="0.25">
      <c r="B111" s="35" t="s">
        <v>21</v>
      </c>
      <c r="C111" s="108">
        <f>SUM(C104:C108)</f>
        <v>-8280000</v>
      </c>
      <c r="D111" s="108">
        <f t="shared" ref="D111:H111" si="13">SUM(D104:D108)</f>
        <v>2295000</v>
      </c>
      <c r="E111" s="108">
        <f t="shared" si="13"/>
        <v>2295000</v>
      </c>
      <c r="F111" s="108">
        <f t="shared" si="13"/>
        <v>2655000</v>
      </c>
      <c r="G111" s="108">
        <f t="shared" si="13"/>
        <v>2655000</v>
      </c>
      <c r="H111" s="109">
        <f t="shared" si="13"/>
        <v>5415000</v>
      </c>
      <c r="I111" s="99"/>
    </row>
    <row r="112" spans="2:9" x14ac:dyDescent="0.25">
      <c r="B112" s="101"/>
      <c r="C112" s="101"/>
      <c r="D112" s="101"/>
      <c r="E112" s="101"/>
      <c r="F112" s="101"/>
      <c r="G112" s="101"/>
      <c r="H112" s="101"/>
    </row>
    <row r="113" spans="1:8" x14ac:dyDescent="0.25">
      <c r="B113" s="68" t="s">
        <v>61</v>
      </c>
      <c r="C113" s="56">
        <f>+C111+NPV(C24,D111:H111)</f>
        <v>3203562.3215545472</v>
      </c>
    </row>
    <row r="114" spans="1:8" x14ac:dyDescent="0.25">
      <c r="C114" s="13"/>
    </row>
    <row r="115" spans="1:8" x14ac:dyDescent="0.25">
      <c r="B115" s="39" t="s">
        <v>232</v>
      </c>
      <c r="C115" s="62"/>
    </row>
    <row r="116" spans="1:8" x14ac:dyDescent="0.25">
      <c r="C116" s="13"/>
    </row>
    <row r="118" spans="1:8" x14ac:dyDescent="0.25">
      <c r="A118" s="102" t="s">
        <v>208</v>
      </c>
      <c r="B118" s="4" t="s">
        <v>209</v>
      </c>
    </row>
    <row r="120" spans="1:8" x14ac:dyDescent="0.25">
      <c r="B120" s="31" t="s">
        <v>186</v>
      </c>
      <c r="C120" s="117"/>
      <c r="D120" s="117"/>
      <c r="E120" s="117"/>
      <c r="F120" s="117"/>
      <c r="G120" s="117"/>
      <c r="H120" s="118"/>
    </row>
    <row r="121" spans="1:8" x14ac:dyDescent="0.25">
      <c r="B121" s="114" t="s">
        <v>5</v>
      </c>
      <c r="C121" s="115" t="s">
        <v>0</v>
      </c>
      <c r="D121" s="115" t="s">
        <v>6</v>
      </c>
      <c r="E121" s="115" t="s">
        <v>7</v>
      </c>
      <c r="F121" s="115" t="s">
        <v>8</v>
      </c>
      <c r="G121" s="115" t="s">
        <v>1</v>
      </c>
      <c r="H121" s="116" t="s">
        <v>22</v>
      </c>
    </row>
    <row r="122" spans="1:8" x14ac:dyDescent="0.25">
      <c r="B122" s="22" t="s">
        <v>9</v>
      </c>
      <c r="C122" s="8"/>
      <c r="D122" s="8">
        <f>+$D$70*$D$74</f>
        <v>5000000</v>
      </c>
      <c r="E122" s="8">
        <f t="shared" ref="E122:H122" si="14">+$D$70*$D$74</f>
        <v>5000000</v>
      </c>
      <c r="F122" s="8">
        <f t="shared" si="14"/>
        <v>5000000</v>
      </c>
      <c r="G122" s="8">
        <f t="shared" si="14"/>
        <v>5000000</v>
      </c>
      <c r="H122" s="107">
        <f t="shared" si="14"/>
        <v>5000000</v>
      </c>
    </row>
    <row r="123" spans="1:8" x14ac:dyDescent="0.25">
      <c r="B123" s="22" t="s">
        <v>10</v>
      </c>
      <c r="C123" s="8">
        <f>+C80-C79</f>
        <v>600000</v>
      </c>
      <c r="D123" s="8"/>
      <c r="E123" s="8"/>
      <c r="F123" s="8"/>
      <c r="G123" s="8"/>
      <c r="H123" s="107">
        <f>+C78*D81</f>
        <v>600000</v>
      </c>
    </row>
    <row r="124" spans="1:8" x14ac:dyDescent="0.25">
      <c r="B124" s="22" t="s">
        <v>203</v>
      </c>
      <c r="C124" s="8"/>
      <c r="D124" s="8">
        <f>-$D$70*$D$71</f>
        <v>-3000000</v>
      </c>
      <c r="E124" s="8">
        <f t="shared" ref="E124:H124" si="15">-$D$70*$D$71</f>
        <v>-3000000</v>
      </c>
      <c r="F124" s="8">
        <f t="shared" si="15"/>
        <v>-3000000</v>
      </c>
      <c r="G124" s="8">
        <f t="shared" si="15"/>
        <v>-3000000</v>
      </c>
      <c r="H124" s="107">
        <f t="shared" si="15"/>
        <v>-3000000</v>
      </c>
    </row>
    <row r="125" spans="1:8" x14ac:dyDescent="0.25">
      <c r="B125" s="22" t="s">
        <v>25</v>
      </c>
      <c r="C125" s="8"/>
      <c r="D125" s="8">
        <f>-$D$72</f>
        <v>-2000000</v>
      </c>
      <c r="E125" s="8">
        <f t="shared" ref="E125:H125" si="16">-$D$72</f>
        <v>-2000000</v>
      </c>
      <c r="F125" s="8">
        <f t="shared" si="16"/>
        <v>-2000000</v>
      </c>
      <c r="G125" s="8">
        <f t="shared" si="16"/>
        <v>-2000000</v>
      </c>
      <c r="H125" s="107">
        <f t="shared" si="16"/>
        <v>-2000000</v>
      </c>
    </row>
    <row r="126" spans="1:8" x14ac:dyDescent="0.25">
      <c r="B126" s="22" t="s">
        <v>133</v>
      </c>
      <c r="C126" s="8"/>
      <c r="D126" s="8">
        <f>-$C$78*$D$77</f>
        <v>-1200000</v>
      </c>
      <c r="E126" s="8">
        <f>-$C$78*$D$77</f>
        <v>-1200000</v>
      </c>
      <c r="F126" s="8"/>
      <c r="G126" s="8"/>
      <c r="H126" s="107"/>
    </row>
    <row r="127" spans="1:8" x14ac:dyDescent="0.25">
      <c r="B127" s="22" t="s">
        <v>49</v>
      </c>
      <c r="C127" s="8">
        <f>-SUM(C122:C125)*30%</f>
        <v>-180000</v>
      </c>
      <c r="D127" s="8">
        <f>-SUM(D122:D126)*$D$85</f>
        <v>360000</v>
      </c>
      <c r="E127" s="8">
        <f>-SUM(E122:E126)*$D$85</f>
        <v>360000</v>
      </c>
      <c r="F127" s="8">
        <f t="shared" ref="F127:H127" si="17">-SUM(F122:F126)*$D$85</f>
        <v>0</v>
      </c>
      <c r="G127" s="8">
        <f t="shared" si="17"/>
        <v>0</v>
      </c>
      <c r="H127" s="107">
        <f t="shared" si="17"/>
        <v>-180000</v>
      </c>
    </row>
    <row r="128" spans="1:8" x14ac:dyDescent="0.25">
      <c r="B128" s="35" t="s">
        <v>14</v>
      </c>
      <c r="C128" s="108">
        <f>SUM(C122:C127)</f>
        <v>420000</v>
      </c>
      <c r="D128" s="108">
        <f>SUM(D122:D127)</f>
        <v>-840000</v>
      </c>
      <c r="E128" s="108">
        <f t="shared" ref="E128:H128" si="18">SUM(E122:E127)</f>
        <v>-840000</v>
      </c>
      <c r="F128" s="108">
        <f t="shared" si="18"/>
        <v>0</v>
      </c>
      <c r="G128" s="108">
        <f t="shared" si="18"/>
        <v>0</v>
      </c>
      <c r="H128" s="109">
        <f t="shared" si="18"/>
        <v>420000</v>
      </c>
    </row>
    <row r="130" spans="2:8" x14ac:dyDescent="0.25">
      <c r="B130" s="31" t="s">
        <v>15</v>
      </c>
      <c r="C130" s="58" t="s">
        <v>0</v>
      </c>
      <c r="D130" s="58" t="s">
        <v>6</v>
      </c>
      <c r="E130" s="58" t="s">
        <v>7</v>
      </c>
      <c r="F130" s="58" t="s">
        <v>8</v>
      </c>
      <c r="G130" s="58" t="s">
        <v>1</v>
      </c>
      <c r="H130" s="34" t="s">
        <v>22</v>
      </c>
    </row>
    <row r="131" spans="2:8" x14ac:dyDescent="0.25">
      <c r="B131" s="22" t="s">
        <v>16</v>
      </c>
      <c r="C131" s="8">
        <f>+C128</f>
        <v>420000</v>
      </c>
      <c r="D131" s="8">
        <f>+D128</f>
        <v>-840000</v>
      </c>
      <c r="E131" s="8">
        <f t="shared" ref="E131:H131" si="19">+E128</f>
        <v>-840000</v>
      </c>
      <c r="F131" s="8">
        <f t="shared" si="19"/>
        <v>0</v>
      </c>
      <c r="G131" s="8">
        <f t="shared" si="19"/>
        <v>0</v>
      </c>
      <c r="H131" s="107">
        <f t="shared" si="19"/>
        <v>420000</v>
      </c>
    </row>
    <row r="132" spans="2:8" x14ac:dyDescent="0.25">
      <c r="B132" s="22" t="s">
        <v>17</v>
      </c>
      <c r="C132" s="8"/>
      <c r="D132" s="8">
        <f>-D126</f>
        <v>1200000</v>
      </c>
      <c r="E132" s="8">
        <f>-E126</f>
        <v>1200000</v>
      </c>
      <c r="F132" s="8"/>
      <c r="G132" s="8"/>
      <c r="H132" s="107"/>
    </row>
    <row r="133" spans="2:8" x14ac:dyDescent="0.25">
      <c r="B133" s="22" t="s">
        <v>18</v>
      </c>
      <c r="C133" s="8">
        <f>+C112</f>
        <v>0</v>
      </c>
      <c r="D133" s="8"/>
      <c r="E133" s="8"/>
      <c r="F133" s="8"/>
      <c r="G133" s="8"/>
      <c r="H133" s="107">
        <v>0</v>
      </c>
    </row>
    <row r="134" spans="2:8" x14ac:dyDescent="0.25">
      <c r="B134" s="22" t="s">
        <v>50</v>
      </c>
      <c r="C134" s="8"/>
      <c r="D134" s="8"/>
      <c r="E134" s="8"/>
      <c r="F134" s="8"/>
      <c r="G134" s="8"/>
      <c r="H134" s="107">
        <f>-SUM(C137:G137)</f>
        <v>500000</v>
      </c>
    </row>
    <row r="135" spans="2:8" x14ac:dyDescent="0.25">
      <c r="B135" s="22" t="s">
        <v>2</v>
      </c>
      <c r="C135" s="8">
        <f>SUM(C136:C137)</f>
        <v>-500000</v>
      </c>
      <c r="D135" s="8">
        <f t="shared" ref="D135:G135" si="20">SUM(D136:D137)</f>
        <v>0</v>
      </c>
      <c r="E135" s="8">
        <f t="shared" si="20"/>
        <v>0</v>
      </c>
      <c r="F135" s="8">
        <f t="shared" si="20"/>
        <v>0</v>
      </c>
      <c r="G135" s="8">
        <f t="shared" si="20"/>
        <v>0</v>
      </c>
      <c r="H135" s="107"/>
    </row>
    <row r="136" spans="2:8" x14ac:dyDescent="0.25">
      <c r="B136" s="22" t="s">
        <v>19</v>
      </c>
      <c r="C136" s="8">
        <f>-C168</f>
        <v>0</v>
      </c>
      <c r="D136" s="8"/>
      <c r="E136" s="8"/>
      <c r="F136" s="8"/>
      <c r="G136" s="8"/>
      <c r="H136" s="107"/>
    </row>
    <row r="137" spans="2:8" x14ac:dyDescent="0.25">
      <c r="B137" s="22" t="s">
        <v>20</v>
      </c>
      <c r="C137" s="8">
        <f>-(D122+C122)*$C$41</f>
        <v>-500000</v>
      </c>
      <c r="D137" s="8">
        <f>-(E120-D120)*$E$26</f>
        <v>0</v>
      </c>
      <c r="E137" s="8">
        <f>-(F120-E120)*$E$26</f>
        <v>0</v>
      </c>
      <c r="F137" s="8">
        <f>-(G120-F120)*$E$26</f>
        <v>0</v>
      </c>
      <c r="G137" s="8">
        <f>-(H120-G120)*$E$26</f>
        <v>0</v>
      </c>
      <c r="H137" s="107"/>
    </row>
    <row r="138" spans="2:8" x14ac:dyDescent="0.25">
      <c r="B138" s="35" t="s">
        <v>190</v>
      </c>
      <c r="C138" s="108">
        <f>SUM(C131:C135)</f>
        <v>-80000</v>
      </c>
      <c r="D138" s="108">
        <f t="shared" ref="D138:H138" si="21">SUM(D131:D135)</f>
        <v>360000</v>
      </c>
      <c r="E138" s="108">
        <f t="shared" si="21"/>
        <v>360000</v>
      </c>
      <c r="F138" s="108">
        <f t="shared" si="21"/>
        <v>0</v>
      </c>
      <c r="G138" s="108">
        <f t="shared" si="21"/>
        <v>0</v>
      </c>
      <c r="H138" s="109">
        <f t="shared" si="21"/>
        <v>920000</v>
      </c>
    </row>
    <row r="141" spans="2:8" x14ac:dyDescent="0.25">
      <c r="B141" s="31" t="s">
        <v>185</v>
      </c>
      <c r="C141" s="121"/>
      <c r="D141" s="121"/>
      <c r="E141" s="121"/>
      <c r="F141" s="121"/>
      <c r="G141" s="121"/>
      <c r="H141" s="42"/>
    </row>
    <row r="142" spans="2:8" x14ac:dyDescent="0.25">
      <c r="B142" s="114" t="s">
        <v>5</v>
      </c>
      <c r="C142" s="115" t="s">
        <v>0</v>
      </c>
      <c r="D142" s="115" t="s">
        <v>6</v>
      </c>
      <c r="E142" s="115" t="s">
        <v>7</v>
      </c>
      <c r="F142" s="115" t="s">
        <v>8</v>
      </c>
      <c r="G142" s="115" t="s">
        <v>1</v>
      </c>
      <c r="H142" s="116" t="s">
        <v>22</v>
      </c>
    </row>
    <row r="143" spans="2:8" x14ac:dyDescent="0.25">
      <c r="B143" s="22" t="s">
        <v>9</v>
      </c>
      <c r="C143" s="8"/>
      <c r="D143" s="8">
        <f>+($D$70+$D$73)*$D$74</f>
        <v>7500000</v>
      </c>
      <c r="E143" s="8">
        <f t="shared" ref="E143:H143" si="22">+($D$70+$D$73)*$D$74</f>
        <v>7500000</v>
      </c>
      <c r="F143" s="8">
        <f t="shared" si="22"/>
        <v>7500000</v>
      </c>
      <c r="G143" s="8">
        <f t="shared" si="22"/>
        <v>7500000</v>
      </c>
      <c r="H143" s="107">
        <f t="shared" si="22"/>
        <v>7500000</v>
      </c>
    </row>
    <row r="144" spans="2:8" x14ac:dyDescent="0.25">
      <c r="B144" s="22" t="s">
        <v>10</v>
      </c>
      <c r="C144" s="8">
        <f>+C80-C79</f>
        <v>600000</v>
      </c>
      <c r="D144" s="8"/>
      <c r="E144" s="8"/>
      <c r="F144" s="8"/>
      <c r="G144" s="8"/>
      <c r="H144" s="107">
        <f>+C82*D83</f>
        <v>4400000</v>
      </c>
    </row>
    <row r="145" spans="2:9" x14ac:dyDescent="0.25">
      <c r="B145" s="22" t="s">
        <v>203</v>
      </c>
      <c r="C145" s="8"/>
      <c r="D145" s="8">
        <f>-($D$70+$D$73)*$D$75</f>
        <v>-3150000</v>
      </c>
      <c r="E145" s="8">
        <f t="shared" ref="E145:H145" si="23">-($D$70+$D$73)*$D$75</f>
        <v>-3150000</v>
      </c>
      <c r="F145" s="8">
        <f t="shared" si="23"/>
        <v>-3150000</v>
      </c>
      <c r="G145" s="8">
        <f t="shared" si="23"/>
        <v>-3150000</v>
      </c>
      <c r="H145" s="107">
        <f t="shared" si="23"/>
        <v>-3150000</v>
      </c>
    </row>
    <row r="146" spans="2:9" x14ac:dyDescent="0.25">
      <c r="B146" s="22" t="s">
        <v>25</v>
      </c>
      <c r="C146" s="8"/>
      <c r="D146" s="8">
        <f>-$D$76</f>
        <v>-1500000</v>
      </c>
      <c r="E146" s="8">
        <f t="shared" ref="E146:H146" si="24">-$D$76</f>
        <v>-1500000</v>
      </c>
      <c r="F146" s="8">
        <f t="shared" si="24"/>
        <v>-1500000</v>
      </c>
      <c r="G146" s="8">
        <f t="shared" si="24"/>
        <v>-1500000</v>
      </c>
      <c r="H146" s="107">
        <f t="shared" si="24"/>
        <v>-1500000</v>
      </c>
    </row>
    <row r="147" spans="2:9" x14ac:dyDescent="0.25">
      <c r="B147" s="22" t="s">
        <v>133</v>
      </c>
      <c r="C147" s="8"/>
      <c r="D147" s="8">
        <f>-$C$82*$D$77</f>
        <v>-2200000</v>
      </c>
      <c r="E147" s="8">
        <f t="shared" ref="E147:H147" si="25">-$C$82*$D$77</f>
        <v>-2200000</v>
      </c>
      <c r="F147" s="8">
        <f t="shared" si="25"/>
        <v>-2200000</v>
      </c>
      <c r="G147" s="8">
        <f t="shared" si="25"/>
        <v>-2200000</v>
      </c>
      <c r="H147" s="107">
        <f t="shared" si="25"/>
        <v>-2200000</v>
      </c>
    </row>
    <row r="148" spans="2:9" x14ac:dyDescent="0.25">
      <c r="B148" s="22" t="s">
        <v>49</v>
      </c>
      <c r="C148" s="8">
        <f>-(SUM(C143:C147)*$D$85)</f>
        <v>-180000</v>
      </c>
      <c r="D148" s="8">
        <f>-(SUM(D143:D147)*$D$85)</f>
        <v>-195000</v>
      </c>
      <c r="E148" s="8">
        <f t="shared" ref="E148:H148" si="26">-(SUM(E143:E147)*$D$85)</f>
        <v>-195000</v>
      </c>
      <c r="F148" s="8">
        <f t="shared" si="26"/>
        <v>-195000</v>
      </c>
      <c r="G148" s="8">
        <f t="shared" si="26"/>
        <v>-195000</v>
      </c>
      <c r="H148" s="107">
        <f t="shared" si="26"/>
        <v>-1515000</v>
      </c>
    </row>
    <row r="149" spans="2:9" x14ac:dyDescent="0.25">
      <c r="B149" s="35" t="s">
        <v>14</v>
      </c>
      <c r="C149" s="108">
        <f>SUM(C143:C148)</f>
        <v>420000</v>
      </c>
      <c r="D149" s="108">
        <f>SUM(D143:D148)</f>
        <v>455000</v>
      </c>
      <c r="E149" s="108">
        <f t="shared" ref="E149:H149" si="27">SUM(E143:E148)</f>
        <v>455000</v>
      </c>
      <c r="F149" s="108">
        <f t="shared" si="27"/>
        <v>455000</v>
      </c>
      <c r="G149" s="108">
        <f t="shared" si="27"/>
        <v>455000</v>
      </c>
      <c r="H149" s="109">
        <f t="shared" si="27"/>
        <v>3535000</v>
      </c>
    </row>
    <row r="151" spans="2:9" x14ac:dyDescent="0.25">
      <c r="B151" s="31" t="s">
        <v>15</v>
      </c>
      <c r="C151" s="58" t="s">
        <v>0</v>
      </c>
      <c r="D151" s="58" t="s">
        <v>6</v>
      </c>
      <c r="E151" s="58" t="s">
        <v>7</v>
      </c>
      <c r="F151" s="58" t="s">
        <v>8</v>
      </c>
      <c r="G151" s="58" t="s">
        <v>1</v>
      </c>
      <c r="H151" s="34" t="s">
        <v>22</v>
      </c>
    </row>
    <row r="152" spans="2:9" x14ac:dyDescent="0.25">
      <c r="B152" s="22" t="s">
        <v>16</v>
      </c>
      <c r="C152" s="8">
        <f>+C149</f>
        <v>420000</v>
      </c>
      <c r="D152" s="8">
        <f t="shared" ref="D152:H152" si="28">+D149</f>
        <v>455000</v>
      </c>
      <c r="E152" s="8">
        <f t="shared" si="28"/>
        <v>455000</v>
      </c>
      <c r="F152" s="8">
        <f t="shared" si="28"/>
        <v>455000</v>
      </c>
      <c r="G152" s="8">
        <f t="shared" si="28"/>
        <v>455000</v>
      </c>
      <c r="H152" s="107">
        <f t="shared" si="28"/>
        <v>3535000</v>
      </c>
    </row>
    <row r="153" spans="2:9" x14ac:dyDescent="0.25">
      <c r="B153" s="22" t="s">
        <v>17</v>
      </c>
      <c r="C153" s="8"/>
      <c r="D153" s="8">
        <f>-D147</f>
        <v>2200000</v>
      </c>
      <c r="E153" s="8">
        <f t="shared" ref="E153:H153" si="29">-E147</f>
        <v>2200000</v>
      </c>
      <c r="F153" s="8">
        <f t="shared" si="29"/>
        <v>2200000</v>
      </c>
      <c r="G153" s="8">
        <f t="shared" si="29"/>
        <v>2200000</v>
      </c>
      <c r="H153" s="107">
        <f t="shared" si="29"/>
        <v>2200000</v>
      </c>
      <c r="I153" s="99"/>
    </row>
    <row r="154" spans="2:9" x14ac:dyDescent="0.25">
      <c r="B154" s="22" t="s">
        <v>18</v>
      </c>
      <c r="C154" s="8">
        <f>+C79</f>
        <v>2400000</v>
      </c>
      <c r="D154" s="8"/>
      <c r="E154" s="8"/>
      <c r="F154" s="8"/>
      <c r="G154" s="8"/>
      <c r="H154" s="107">
        <v>0</v>
      </c>
    </row>
    <row r="155" spans="2:9" x14ac:dyDescent="0.25">
      <c r="B155" s="22" t="s">
        <v>50</v>
      </c>
      <c r="C155" s="8"/>
      <c r="D155" s="8"/>
      <c r="E155" s="8"/>
      <c r="F155" s="8"/>
      <c r="G155" s="8"/>
      <c r="H155" s="107">
        <f>-SUM(C158:G158)</f>
        <v>600000</v>
      </c>
    </row>
    <row r="156" spans="2:9" x14ac:dyDescent="0.25">
      <c r="B156" s="22" t="s">
        <v>2</v>
      </c>
      <c r="C156" s="8">
        <f>SUM(C157:C158)</f>
        <v>-11600000</v>
      </c>
      <c r="D156" s="8">
        <f t="shared" ref="D156:G156" si="30">SUM(D157:D158)</f>
        <v>0</v>
      </c>
      <c r="E156" s="8">
        <f t="shared" si="30"/>
        <v>0</v>
      </c>
      <c r="F156" s="8">
        <f t="shared" si="30"/>
        <v>0</v>
      </c>
      <c r="G156" s="8">
        <f t="shared" si="30"/>
        <v>0</v>
      </c>
      <c r="H156" s="107"/>
    </row>
    <row r="157" spans="2:9" x14ac:dyDescent="0.25">
      <c r="B157" s="22" t="s">
        <v>19</v>
      </c>
      <c r="C157" s="8">
        <f>-C82</f>
        <v>-11000000</v>
      </c>
      <c r="D157" s="8"/>
      <c r="E157" s="8"/>
      <c r="F157" s="8"/>
      <c r="G157" s="8"/>
      <c r="H157" s="107"/>
    </row>
    <row r="158" spans="2:9" x14ac:dyDescent="0.25">
      <c r="B158" s="22" t="s">
        <v>20</v>
      </c>
      <c r="C158" s="8">
        <f>-(D143-C143)*C84</f>
        <v>-600000</v>
      </c>
      <c r="D158" s="8">
        <f>-(E143-D143)*D84</f>
        <v>0</v>
      </c>
      <c r="E158" s="8">
        <f>-(F143-E143)*E84</f>
        <v>0</v>
      </c>
      <c r="F158" s="8">
        <f>-(G143-F143)*F84</f>
        <v>0</v>
      </c>
      <c r="G158" s="8">
        <f>-(H143-G143)*G84</f>
        <v>0</v>
      </c>
      <c r="H158" s="107"/>
    </row>
    <row r="159" spans="2:9" x14ac:dyDescent="0.25">
      <c r="B159" s="35" t="s">
        <v>189</v>
      </c>
      <c r="C159" s="108">
        <f>SUM(C152:C156)</f>
        <v>-8780000</v>
      </c>
      <c r="D159" s="108">
        <f>SUM(D152:D156)</f>
        <v>2655000</v>
      </c>
      <c r="E159" s="108">
        <f t="shared" ref="E159:H159" si="31">SUM(E152:E156)</f>
        <v>2655000</v>
      </c>
      <c r="F159" s="108">
        <f t="shared" si="31"/>
        <v>2655000</v>
      </c>
      <c r="G159" s="108">
        <f t="shared" si="31"/>
        <v>2655000</v>
      </c>
      <c r="H159" s="109">
        <f t="shared" si="31"/>
        <v>6335000</v>
      </c>
    </row>
    <row r="160" spans="2:9" ht="3.6" customHeight="1" x14ac:dyDescent="0.25">
      <c r="B160" s="22"/>
      <c r="C160" s="6"/>
      <c r="D160" s="6"/>
      <c r="E160" s="6"/>
      <c r="F160" s="6"/>
      <c r="G160" s="6"/>
      <c r="H160" s="23"/>
    </row>
    <row r="161" spans="1:8" ht="2.4" customHeight="1" x14ac:dyDescent="0.25">
      <c r="B161" s="22"/>
      <c r="C161" s="6"/>
      <c r="D161" s="6"/>
      <c r="E161" s="6"/>
      <c r="F161" s="6"/>
      <c r="G161" s="6"/>
      <c r="H161" s="23"/>
    </row>
    <row r="162" spans="1:8" x14ac:dyDescent="0.25">
      <c r="B162" s="22" t="s">
        <v>189</v>
      </c>
      <c r="C162" s="8">
        <f>+C159</f>
        <v>-8780000</v>
      </c>
      <c r="D162" s="8">
        <f t="shared" ref="D162:H162" si="32">+D159</f>
        <v>2655000</v>
      </c>
      <c r="E162" s="8">
        <f t="shared" si="32"/>
        <v>2655000</v>
      </c>
      <c r="F162" s="8">
        <f t="shared" si="32"/>
        <v>2655000</v>
      </c>
      <c r="G162" s="8">
        <f t="shared" si="32"/>
        <v>2655000</v>
      </c>
      <c r="H162" s="107">
        <f t="shared" si="32"/>
        <v>6335000</v>
      </c>
    </row>
    <row r="163" spans="1:8" x14ac:dyDescent="0.25">
      <c r="B163" s="22" t="s">
        <v>190</v>
      </c>
      <c r="C163" s="8">
        <f>+C138</f>
        <v>-80000</v>
      </c>
      <c r="D163" s="8">
        <f t="shared" ref="D163:H163" si="33">+D138</f>
        <v>360000</v>
      </c>
      <c r="E163" s="8">
        <f t="shared" si="33"/>
        <v>360000</v>
      </c>
      <c r="F163" s="8">
        <f t="shared" si="33"/>
        <v>0</v>
      </c>
      <c r="G163" s="8">
        <f t="shared" si="33"/>
        <v>0</v>
      </c>
      <c r="H163" s="107">
        <f t="shared" si="33"/>
        <v>920000</v>
      </c>
    </row>
    <row r="164" spans="1:8" x14ac:dyDescent="0.25">
      <c r="B164" s="35" t="s">
        <v>191</v>
      </c>
      <c r="C164" s="108">
        <f>+C162-C163</f>
        <v>-8700000</v>
      </c>
      <c r="D164" s="108">
        <f t="shared" ref="D164:H164" si="34">+D162-D163</f>
        <v>2295000</v>
      </c>
      <c r="E164" s="108">
        <f t="shared" si="34"/>
        <v>2295000</v>
      </c>
      <c r="F164" s="108">
        <f t="shared" si="34"/>
        <v>2655000</v>
      </c>
      <c r="G164" s="108">
        <f t="shared" si="34"/>
        <v>2655000</v>
      </c>
      <c r="H164" s="109">
        <f t="shared" si="34"/>
        <v>5415000</v>
      </c>
    </row>
    <row r="168" spans="1:8" x14ac:dyDescent="0.25">
      <c r="A168" s="71" t="s">
        <v>207</v>
      </c>
      <c r="B168" s="13" t="s">
        <v>264</v>
      </c>
    </row>
    <row r="169" spans="1:8" x14ac:dyDescent="0.25">
      <c r="A169" s="103"/>
    </row>
    <row r="170" spans="1:8" x14ac:dyDescent="0.25">
      <c r="B170" s="31"/>
      <c r="C170" s="58" t="s">
        <v>0</v>
      </c>
      <c r="D170" s="58" t="s">
        <v>6</v>
      </c>
      <c r="E170" s="58" t="s">
        <v>7</v>
      </c>
      <c r="F170" s="58" t="s">
        <v>8</v>
      </c>
      <c r="G170" s="58" t="s">
        <v>1</v>
      </c>
      <c r="H170" s="34" t="s">
        <v>22</v>
      </c>
    </row>
    <row r="171" spans="1:8" x14ac:dyDescent="0.25">
      <c r="B171" s="22" t="s">
        <v>55</v>
      </c>
      <c r="C171" s="6">
        <f>1/(1+$C$24)^0</f>
        <v>1</v>
      </c>
      <c r="D171" s="6">
        <f>1/(1+$C$24)^1</f>
        <v>0.91733282133930794</v>
      </c>
      <c r="E171" s="6">
        <f>1/(1+$C$24)^2</f>
        <v>0.84149950510633476</v>
      </c>
      <c r="F171" s="6">
        <f>1/(1+$C$24)^3</f>
        <v>0.77193511517482538</v>
      </c>
      <c r="G171" s="6">
        <f>1/(1+$C$24)^4</f>
        <v>0.70812141709420628</v>
      </c>
      <c r="H171" s="23">
        <f>1/(1+$C$24)^5</f>
        <v>0.64958301739381707</v>
      </c>
    </row>
    <row r="172" spans="1:8" x14ac:dyDescent="0.25">
      <c r="B172" s="22" t="s">
        <v>41</v>
      </c>
      <c r="C172" s="6">
        <f t="shared" ref="C172:H172" si="35">+C111*C171</f>
        <v>-8280000</v>
      </c>
      <c r="D172" s="6">
        <f t="shared" si="35"/>
        <v>2105278.8249737117</v>
      </c>
      <c r="E172" s="6">
        <f t="shared" si="35"/>
        <v>1931241.3642190383</v>
      </c>
      <c r="F172" s="6">
        <f t="shared" si="35"/>
        <v>2049487.7307891613</v>
      </c>
      <c r="G172" s="6">
        <f t="shared" si="35"/>
        <v>1880062.3623851177</v>
      </c>
      <c r="H172" s="23">
        <f t="shared" si="35"/>
        <v>3517492.0391875193</v>
      </c>
    </row>
    <row r="173" spans="1:8" x14ac:dyDescent="0.25">
      <c r="B173" s="22" t="s">
        <v>56</v>
      </c>
      <c r="C173" s="6">
        <f>+C172</f>
        <v>-8280000</v>
      </c>
      <c r="D173" s="6">
        <f>+C173+D172</f>
        <v>-6174721.1750262883</v>
      </c>
      <c r="E173" s="6">
        <f t="shared" ref="E173:G173" si="36">+D173+E172</f>
        <v>-4243479.8108072504</v>
      </c>
      <c r="F173" s="6">
        <f t="shared" si="36"/>
        <v>-2193992.0800180892</v>
      </c>
      <c r="G173" s="6">
        <f t="shared" si="36"/>
        <v>-313929.71763297147</v>
      </c>
      <c r="H173" s="122">
        <f>+G173+H172</f>
        <v>3203562.3215545481</v>
      </c>
    </row>
    <row r="174" spans="1:8" x14ac:dyDescent="0.25">
      <c r="B174" s="123" t="s">
        <v>57</v>
      </c>
      <c r="C174" s="26"/>
      <c r="D174" s="26"/>
      <c r="E174" s="26"/>
      <c r="F174" s="26"/>
      <c r="G174" s="26"/>
      <c r="H174" s="27"/>
    </row>
  </sheetData>
  <sheetProtection algorithmName="SHA-512" hashValue="X1Tjuw4uf9rDnXjxrcVcijS+VG0k0ilOtF2JAWWQT/HcF+rbnh1VXE+maUbGv7FuziuaMzs+vJ/IqVmC8aFgyg==" saltValue="Jn1SXpkSDfUtL/KX8dje3w==" spinCount="100000" sheet="1" objects="1" scenarios="1"/>
  <mergeCells count="3">
    <mergeCell ref="B1:H1"/>
    <mergeCell ref="B65:E68"/>
    <mergeCell ref="B27:D29"/>
  </mergeCells>
  <phoneticPr fontId="3" type="noConversion"/>
  <pageMargins left="0.7" right="0.7" top="0.75" bottom="0.75" header="0.3" footer="0.3"/>
  <pageSetup orientation="portrait" horizontalDpi="360" verticalDpi="360" r:id="rId1"/>
  <ignoredErrors>
    <ignoredError sqref="C108 H107 C111 C127:C128 C131 C138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76"/>
  <sheetViews>
    <sheetView topLeftCell="D127" zoomScaleNormal="100" workbookViewId="0">
      <selection activeCell="L135" sqref="L135"/>
    </sheetView>
  </sheetViews>
  <sheetFormatPr baseColWidth="10" defaultColWidth="11.44140625" defaultRowHeight="13.8" x14ac:dyDescent="0.25"/>
  <cols>
    <col min="1" max="1" width="26.109375" style="143" customWidth="1"/>
    <col min="2" max="2" width="34.6640625" style="144" bestFit="1" customWidth="1"/>
    <col min="3" max="3" width="16" style="144" customWidth="1"/>
    <col min="4" max="4" width="15.33203125" style="144" customWidth="1"/>
    <col min="5" max="8" width="15.44140625" style="144" bestFit="1" customWidth="1"/>
    <col min="9" max="9" width="11.44140625" style="144"/>
    <col min="10" max="10" width="21" style="144" bestFit="1" customWidth="1"/>
    <col min="11" max="11" width="13.44140625" style="144" bestFit="1" customWidth="1"/>
    <col min="12" max="15" width="14.109375" style="144" bestFit="1" customWidth="1"/>
    <col min="16" max="16" width="6" style="144" bestFit="1" customWidth="1"/>
    <col min="17" max="16384" width="11.44140625" style="144"/>
  </cols>
  <sheetData>
    <row r="1" spans="1:16" s="4" customFormat="1" ht="19.95" customHeight="1" x14ac:dyDescent="0.25">
      <c r="B1" s="204" t="s">
        <v>251</v>
      </c>
      <c r="C1" s="204"/>
      <c r="D1" s="204"/>
      <c r="E1" s="204"/>
      <c r="F1" s="204"/>
      <c r="G1" s="204"/>
      <c r="H1" s="204"/>
    </row>
    <row r="3" spans="1:16" x14ac:dyDescent="0.25">
      <c r="A3" s="143" t="s">
        <v>205</v>
      </c>
      <c r="B3" s="105" t="s">
        <v>86</v>
      </c>
      <c r="C3" s="104">
        <v>0.6</v>
      </c>
      <c r="D3" s="4"/>
    </row>
    <row r="4" spans="1:16" x14ac:dyDescent="0.25">
      <c r="B4" s="38" t="s">
        <v>92</v>
      </c>
      <c r="C4" s="37">
        <f>1-C3</f>
        <v>0.4</v>
      </c>
      <c r="D4" s="14"/>
    </row>
    <row r="5" spans="1:16" x14ac:dyDescent="0.25">
      <c r="A5" s="71"/>
      <c r="B5" s="4"/>
      <c r="C5" s="4"/>
      <c r="D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71"/>
      <c r="B6" s="137" t="s">
        <v>94</v>
      </c>
      <c r="C6" s="119"/>
      <c r="D6" s="142"/>
      <c r="E6" s="145"/>
      <c r="I6" s="4"/>
      <c r="J6" s="4"/>
      <c r="K6" s="4"/>
      <c r="L6" s="4"/>
      <c r="M6" s="4"/>
      <c r="N6" s="4"/>
      <c r="O6" s="4"/>
      <c r="P6" s="4"/>
    </row>
    <row r="7" spans="1:16" ht="16.2" x14ac:dyDescent="0.35">
      <c r="A7" s="71"/>
      <c r="B7" s="43" t="s">
        <v>238</v>
      </c>
      <c r="C7" s="6">
        <v>0.61</v>
      </c>
      <c r="D7" s="6" t="s">
        <v>194</v>
      </c>
      <c r="E7" s="146"/>
      <c r="I7" s="4"/>
      <c r="J7" s="4"/>
      <c r="K7" s="4"/>
      <c r="L7" s="4"/>
      <c r="M7" s="4"/>
      <c r="N7" s="4"/>
      <c r="O7" s="4"/>
      <c r="P7" s="4"/>
    </row>
    <row r="8" spans="1:16" ht="16.2" x14ac:dyDescent="0.35">
      <c r="A8" s="71"/>
      <c r="B8" s="43" t="s">
        <v>239</v>
      </c>
      <c r="C8" s="6">
        <f>+((1+(C3/C4)*(1-D43)))*C7</f>
        <v>1.2504999999999999</v>
      </c>
      <c r="D8" s="6"/>
      <c r="E8" s="146"/>
      <c r="I8" s="4"/>
      <c r="J8" s="4"/>
      <c r="K8" s="4"/>
      <c r="L8" s="4"/>
      <c r="M8" s="4"/>
      <c r="N8" s="4"/>
      <c r="O8" s="4"/>
      <c r="P8" s="4"/>
    </row>
    <row r="9" spans="1:16" ht="16.2" x14ac:dyDescent="0.35">
      <c r="A9" s="71"/>
      <c r="B9" s="44" t="s">
        <v>240</v>
      </c>
      <c r="C9" s="136">
        <v>1.43E-2</v>
      </c>
      <c r="D9" s="141">
        <v>44013</v>
      </c>
      <c r="E9" s="146"/>
      <c r="I9" s="4"/>
      <c r="J9" s="4"/>
      <c r="K9" s="4"/>
      <c r="L9" s="4"/>
      <c r="M9" s="4"/>
      <c r="N9" s="4"/>
      <c r="O9" s="4"/>
      <c r="P9" s="4"/>
    </row>
    <row r="10" spans="1:16" ht="16.2" x14ac:dyDescent="0.35">
      <c r="A10" s="71"/>
      <c r="B10" s="44" t="s">
        <v>241</v>
      </c>
      <c r="C10" s="136">
        <v>4.8300000000000003E-2</v>
      </c>
      <c r="D10" s="84" t="s">
        <v>95</v>
      </c>
      <c r="E10" s="146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71"/>
      <c r="B11" s="25" t="s">
        <v>93</v>
      </c>
      <c r="C11" s="138">
        <v>1.4500000000000001E-2</v>
      </c>
      <c r="D11" s="147">
        <v>44013</v>
      </c>
      <c r="E11" s="148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71"/>
      <c r="B12" s="4"/>
      <c r="C12" s="4"/>
      <c r="D12" s="4"/>
      <c r="I12" s="4"/>
      <c r="J12" s="4"/>
      <c r="K12" s="98"/>
      <c r="L12" s="4"/>
      <c r="M12" s="4"/>
      <c r="N12" s="4"/>
      <c r="O12" s="4"/>
      <c r="P12" s="4"/>
    </row>
    <row r="13" spans="1:16" x14ac:dyDescent="0.25">
      <c r="A13" s="71"/>
      <c r="B13" s="41" t="s">
        <v>96</v>
      </c>
      <c r="C13" s="161"/>
      <c r="D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71"/>
      <c r="B14" s="46" t="s">
        <v>99</v>
      </c>
      <c r="C14" s="159">
        <f>+C9+(C7*C10)+C11</f>
        <v>5.8262999999999995E-2</v>
      </c>
      <c r="D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71"/>
      <c r="B15" s="48" t="s">
        <v>100</v>
      </c>
      <c r="C15" s="160">
        <f>+C9+(C8*C10)+C11</f>
        <v>8.9199149999999991E-2</v>
      </c>
      <c r="D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71"/>
      <c r="B16" s="4"/>
      <c r="C16" s="4"/>
      <c r="D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71"/>
      <c r="B17" s="41" t="s">
        <v>97</v>
      </c>
      <c r="C17" s="53"/>
      <c r="D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71"/>
      <c r="B18" s="46" t="s">
        <v>86</v>
      </c>
      <c r="C18" s="47">
        <f>+C3</f>
        <v>0.6</v>
      </c>
      <c r="D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71"/>
      <c r="B19" s="46" t="s">
        <v>81</v>
      </c>
      <c r="C19" s="51">
        <f>+C51</f>
        <v>0.05</v>
      </c>
      <c r="D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71"/>
      <c r="B20" s="46" t="s">
        <v>98</v>
      </c>
      <c r="C20" s="52">
        <f>+D43</f>
        <v>0.3</v>
      </c>
      <c r="D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71"/>
      <c r="B21" s="46" t="s">
        <v>92</v>
      </c>
      <c r="C21" s="47">
        <f>+C4</f>
        <v>0.4</v>
      </c>
      <c r="D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71"/>
      <c r="B22" s="46" t="s">
        <v>100</v>
      </c>
      <c r="C22" s="47">
        <f>+C15</f>
        <v>8.9199149999999991E-2</v>
      </c>
      <c r="D22" s="4"/>
      <c r="I22" s="4"/>
      <c r="J22" s="4"/>
      <c r="K22" s="4"/>
      <c r="L22" s="4"/>
      <c r="M22" s="4"/>
      <c r="N22" s="4"/>
      <c r="O22" s="4"/>
      <c r="P22" s="4"/>
    </row>
    <row r="23" spans="1:16" ht="5.4" customHeight="1" x14ac:dyDescent="0.25">
      <c r="A23" s="71"/>
      <c r="B23" s="22"/>
      <c r="C23" s="23"/>
      <c r="D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71"/>
      <c r="B24" s="54" t="s">
        <v>101</v>
      </c>
      <c r="C24" s="55">
        <f>+C18*C19*(1-C20)+C21*C22</f>
        <v>5.6679659999999993E-2</v>
      </c>
      <c r="D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71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71" t="s">
        <v>206</v>
      </c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71"/>
      <c r="B27" s="162"/>
      <c r="C27" s="163"/>
      <c r="D27" s="163"/>
      <c r="E27" s="163"/>
      <c r="F27" s="16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71"/>
      <c r="B28" s="224" t="s">
        <v>187</v>
      </c>
      <c r="C28" s="225"/>
      <c r="D28" s="225"/>
      <c r="E28" s="225"/>
      <c r="F28" s="226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71"/>
      <c r="B29" s="165"/>
      <c r="C29" s="135"/>
      <c r="D29" s="135"/>
      <c r="E29" s="135"/>
      <c r="F29" s="166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71"/>
      <c r="B30" s="28"/>
      <c r="C30" s="29" t="s">
        <v>0</v>
      </c>
      <c r="D30" s="29" t="s">
        <v>6</v>
      </c>
      <c r="E30" s="29" t="s">
        <v>183</v>
      </c>
      <c r="F30" s="126"/>
      <c r="G30" s="82"/>
      <c r="H30" s="82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71"/>
      <c r="B31" s="22" t="s">
        <v>172</v>
      </c>
      <c r="C31" s="149"/>
      <c r="D31" s="149">
        <v>600</v>
      </c>
      <c r="E31" s="82"/>
      <c r="F31" s="83"/>
      <c r="G31" s="82"/>
      <c r="H31" s="82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71"/>
      <c r="B32" s="22" t="s">
        <v>173</v>
      </c>
      <c r="C32" s="149"/>
      <c r="D32" s="149">
        <v>1000</v>
      </c>
      <c r="E32" s="82"/>
      <c r="F32" s="83"/>
      <c r="G32" s="82"/>
      <c r="H32" s="82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71"/>
      <c r="B33" s="22" t="s">
        <v>184</v>
      </c>
      <c r="C33" s="150"/>
      <c r="D33" s="150"/>
      <c r="E33" s="136">
        <v>0.05</v>
      </c>
      <c r="F33" s="23"/>
      <c r="G33" s="6"/>
      <c r="H33" s="6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71"/>
      <c r="B34" s="22" t="s">
        <v>23</v>
      </c>
      <c r="C34" s="6"/>
      <c r="D34" s="6">
        <v>180</v>
      </c>
      <c r="E34" s="6">
        <v>180</v>
      </c>
      <c r="F34" s="23"/>
      <c r="G34" s="6"/>
      <c r="H34" s="6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71"/>
      <c r="B35" s="22" t="s">
        <v>24</v>
      </c>
      <c r="C35" s="6"/>
      <c r="D35" s="6">
        <v>120</v>
      </c>
      <c r="E35" s="6">
        <v>120</v>
      </c>
      <c r="F35" s="23"/>
      <c r="G35" s="6"/>
      <c r="H35" s="6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71"/>
      <c r="B36" s="22" t="s">
        <v>11</v>
      </c>
      <c r="C36" s="6"/>
      <c r="D36" s="6"/>
      <c r="E36" s="6"/>
      <c r="F36" s="23"/>
      <c r="G36" s="6"/>
      <c r="H36" s="6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71"/>
      <c r="B37" s="22" t="s">
        <v>174</v>
      </c>
      <c r="C37" s="6">
        <v>100</v>
      </c>
      <c r="D37" s="6">
        <f>+C37*(1+$E$33)</f>
        <v>105</v>
      </c>
      <c r="E37" s="6">
        <f>+D37*(1+$E$33)</f>
        <v>110.25</v>
      </c>
      <c r="F37" s="23"/>
      <c r="G37" s="6"/>
      <c r="H37" s="6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71"/>
      <c r="B38" s="22" t="s">
        <v>175</v>
      </c>
      <c r="C38" s="6">
        <v>80</v>
      </c>
      <c r="D38" s="6">
        <f>+C38*(1+$E$33)</f>
        <v>84</v>
      </c>
      <c r="E38" s="6">
        <f>+D38*(1+$E$33)</f>
        <v>88.2</v>
      </c>
      <c r="F38" s="23"/>
      <c r="G38" s="6"/>
      <c r="H38" s="6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71"/>
      <c r="B39" s="22" t="s">
        <v>25</v>
      </c>
      <c r="C39" s="6">
        <v>1000000</v>
      </c>
      <c r="D39" s="6">
        <v>1000000</v>
      </c>
      <c r="E39" s="6">
        <v>1000000</v>
      </c>
      <c r="F39" s="23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71"/>
      <c r="B40" s="22" t="s">
        <v>159</v>
      </c>
      <c r="C40" s="150"/>
      <c r="D40" s="150"/>
      <c r="E40" s="150"/>
      <c r="F40" s="146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71"/>
      <c r="B41" s="22" t="s">
        <v>176</v>
      </c>
      <c r="C41" s="150"/>
      <c r="D41" s="227">
        <v>0.1</v>
      </c>
      <c r="E41" s="227"/>
      <c r="F41" s="146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71"/>
      <c r="B42" s="22" t="s">
        <v>177</v>
      </c>
      <c r="C42" s="150"/>
      <c r="D42" s="227">
        <v>0.2</v>
      </c>
      <c r="E42" s="227"/>
      <c r="F42" s="146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71"/>
      <c r="B43" s="167" t="s">
        <v>178</v>
      </c>
      <c r="C43" s="150"/>
      <c r="D43" s="227">
        <v>0.3</v>
      </c>
      <c r="E43" s="227"/>
      <c r="F43" s="146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71"/>
      <c r="B44" s="167" t="s">
        <v>2</v>
      </c>
      <c r="C44" s="150"/>
      <c r="D44" s="150"/>
      <c r="E44" s="150"/>
      <c r="F44" s="146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71"/>
      <c r="B45" s="22" t="s">
        <v>179</v>
      </c>
      <c r="C45" s="6">
        <v>1500000</v>
      </c>
      <c r="D45" s="150"/>
      <c r="E45" s="150"/>
      <c r="F45" s="146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71"/>
      <c r="B46" s="22" t="s">
        <v>176</v>
      </c>
      <c r="C46" s="6">
        <v>13000000</v>
      </c>
      <c r="D46" s="6"/>
      <c r="E46" s="6"/>
      <c r="F46" s="23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71"/>
      <c r="B47" s="22" t="s">
        <v>180</v>
      </c>
      <c r="C47" s="6">
        <v>12000000</v>
      </c>
      <c r="D47" s="6"/>
      <c r="E47" s="6"/>
      <c r="F47" s="23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71"/>
      <c r="B48" s="22" t="s">
        <v>181</v>
      </c>
      <c r="C48" s="6">
        <v>3500000</v>
      </c>
      <c r="D48" s="6"/>
      <c r="E48" s="6"/>
      <c r="F48" s="23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1"/>
      <c r="B49" s="22" t="s">
        <v>26</v>
      </c>
      <c r="C49" s="150"/>
      <c r="D49" s="150"/>
      <c r="E49" s="6">
        <v>5000000</v>
      </c>
      <c r="F49" s="23" t="s">
        <v>22</v>
      </c>
      <c r="G49" s="4"/>
      <c r="H49" s="4"/>
      <c r="I49" s="4"/>
      <c r="J49" s="4"/>
      <c r="K49" s="4"/>
      <c r="L49" s="4"/>
      <c r="M49" s="4"/>
      <c r="N49" s="4"/>
      <c r="O49" s="4"/>
      <c r="P49" s="6"/>
    </row>
    <row r="50" spans="1:16" x14ac:dyDescent="0.25">
      <c r="A50" s="71"/>
      <c r="B50" s="167" t="s">
        <v>182</v>
      </c>
      <c r="C50" s="151">
        <v>0.1</v>
      </c>
      <c r="D50" s="6"/>
      <c r="E50" s="6"/>
      <c r="F50" s="23"/>
      <c r="G50" s="4"/>
      <c r="H50" s="4"/>
      <c r="I50" s="4"/>
      <c r="P50" s="6"/>
    </row>
    <row r="51" spans="1:16" x14ac:dyDescent="0.25">
      <c r="A51" s="71"/>
      <c r="B51" s="167" t="s">
        <v>82</v>
      </c>
      <c r="C51" s="151">
        <v>0.05</v>
      </c>
      <c r="D51" s="6"/>
      <c r="E51" s="6"/>
      <c r="F51" s="23"/>
      <c r="G51" s="4"/>
      <c r="H51" s="4"/>
      <c r="I51" s="4"/>
      <c r="P51" s="82"/>
    </row>
    <row r="52" spans="1:16" x14ac:dyDescent="0.25">
      <c r="A52" s="71"/>
      <c r="B52" s="22" t="s">
        <v>86</v>
      </c>
      <c r="C52" s="151">
        <v>0.6</v>
      </c>
      <c r="D52" s="6"/>
      <c r="E52" s="6"/>
      <c r="F52" s="23"/>
      <c r="G52" s="4"/>
      <c r="H52" s="4"/>
      <c r="I52" s="4"/>
      <c r="P52" s="6"/>
    </row>
    <row r="53" spans="1:16" x14ac:dyDescent="0.25">
      <c r="A53" s="71"/>
      <c r="B53" s="25"/>
      <c r="C53" s="26"/>
      <c r="D53" s="26"/>
      <c r="E53" s="26"/>
      <c r="F53" s="27"/>
      <c r="G53" s="4"/>
      <c r="H53" s="4"/>
      <c r="I53" s="4"/>
      <c r="P53" s="6"/>
    </row>
    <row r="54" spans="1:16" x14ac:dyDescent="0.25">
      <c r="A54" s="7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6"/>
    </row>
    <row r="55" spans="1:16" x14ac:dyDescent="0.25">
      <c r="A55" s="71"/>
      <c r="B55" s="31" t="s">
        <v>185</v>
      </c>
      <c r="C55" s="174"/>
      <c r="D55" s="174"/>
      <c r="E55" s="174"/>
      <c r="F55" s="174"/>
      <c r="G55" s="174"/>
      <c r="H55" s="133"/>
      <c r="I55" s="4"/>
      <c r="J55" s="4"/>
      <c r="K55" s="4"/>
      <c r="L55" s="4"/>
      <c r="M55" s="4"/>
      <c r="N55" s="4"/>
      <c r="O55" s="4"/>
      <c r="P55" s="6"/>
    </row>
    <row r="56" spans="1:16" x14ac:dyDescent="0.25">
      <c r="A56" s="71"/>
      <c r="B56" s="114" t="s">
        <v>5</v>
      </c>
      <c r="C56" s="115" t="s">
        <v>0</v>
      </c>
      <c r="D56" s="115" t="s">
        <v>6</v>
      </c>
      <c r="E56" s="115" t="s">
        <v>7</v>
      </c>
      <c r="F56" s="115" t="s">
        <v>8</v>
      </c>
      <c r="G56" s="115" t="s">
        <v>1</v>
      </c>
      <c r="H56" s="116" t="s">
        <v>22</v>
      </c>
      <c r="I56" s="4"/>
      <c r="J56" s="4"/>
      <c r="K56" s="14"/>
      <c r="L56" s="4"/>
      <c r="M56" s="4"/>
      <c r="N56" s="4"/>
      <c r="O56" s="4"/>
      <c r="P56" s="4"/>
    </row>
    <row r="57" spans="1:16" x14ac:dyDescent="0.25">
      <c r="A57" s="71"/>
      <c r="B57" s="22" t="s">
        <v>9</v>
      </c>
      <c r="C57" s="6"/>
      <c r="D57" s="6">
        <f>SUM(D58:D59)</f>
        <v>82080000</v>
      </c>
      <c r="E57" s="6">
        <f t="shared" ref="E57:H57" si="0">SUM(E58:E59)</f>
        <v>86184000</v>
      </c>
      <c r="F57" s="6">
        <f t="shared" si="0"/>
        <v>90493200</v>
      </c>
      <c r="G57" s="6">
        <f t="shared" si="0"/>
        <v>95017860</v>
      </c>
      <c r="H57" s="23">
        <f t="shared" si="0"/>
        <v>99768753</v>
      </c>
      <c r="I57" s="4"/>
      <c r="J57" s="4"/>
      <c r="K57" s="14"/>
      <c r="L57" s="4"/>
      <c r="M57" s="4"/>
      <c r="N57" s="4"/>
      <c r="O57" s="4"/>
      <c r="P57" s="4"/>
    </row>
    <row r="58" spans="1:16" x14ac:dyDescent="0.25">
      <c r="B58" s="22" t="s">
        <v>174</v>
      </c>
      <c r="C58" s="6"/>
      <c r="D58" s="6">
        <f>+$D$31*360*$D$34</f>
        <v>38880000</v>
      </c>
      <c r="E58" s="6">
        <f>+D58*(1+$E$33)</f>
        <v>40824000</v>
      </c>
      <c r="F58" s="6">
        <f t="shared" ref="E58:H59" si="1">+E58*(1+$E$33)</f>
        <v>42865200</v>
      </c>
      <c r="G58" s="6">
        <f t="shared" si="1"/>
        <v>45008460</v>
      </c>
      <c r="H58" s="23">
        <f t="shared" si="1"/>
        <v>47258883</v>
      </c>
      <c r="I58" s="4"/>
      <c r="J58" s="4"/>
      <c r="K58" s="14"/>
      <c r="L58" s="4"/>
      <c r="M58" s="4"/>
      <c r="N58" s="4"/>
      <c r="O58" s="4"/>
      <c r="P58" s="4"/>
    </row>
    <row r="59" spans="1:16" x14ac:dyDescent="0.25">
      <c r="B59" s="22" t="s">
        <v>175</v>
      </c>
      <c r="C59" s="6"/>
      <c r="D59" s="6">
        <f>+$D$32*360*$D$35</f>
        <v>43200000</v>
      </c>
      <c r="E59" s="6">
        <f t="shared" si="1"/>
        <v>45360000</v>
      </c>
      <c r="F59" s="6">
        <f t="shared" si="1"/>
        <v>47628000</v>
      </c>
      <c r="G59" s="6">
        <f t="shared" si="1"/>
        <v>50009400</v>
      </c>
      <c r="H59" s="23">
        <f t="shared" si="1"/>
        <v>52509870</v>
      </c>
      <c r="I59" s="4"/>
      <c r="J59" s="4"/>
      <c r="K59" s="4"/>
      <c r="L59" s="4"/>
      <c r="M59" s="152"/>
      <c r="N59" s="152"/>
      <c r="O59" s="4"/>
      <c r="P59" s="152"/>
    </row>
    <row r="60" spans="1:16" x14ac:dyDescent="0.25">
      <c r="B60" s="22" t="s">
        <v>10</v>
      </c>
      <c r="C60" s="6"/>
      <c r="D60" s="6"/>
      <c r="E60" s="6"/>
      <c r="F60" s="6"/>
      <c r="G60" s="6"/>
      <c r="H60" s="23">
        <f>+E49-(C45+C46+C47+C48+D65+E65+F65+G65+H65)</f>
        <v>-3000000</v>
      </c>
      <c r="I60" s="4"/>
      <c r="J60" s="153"/>
      <c r="K60" s="154"/>
      <c r="L60" s="155"/>
      <c r="M60" s="4"/>
      <c r="N60" s="4"/>
      <c r="O60" s="4"/>
      <c r="P60" s="4"/>
    </row>
    <row r="61" spans="1:16" x14ac:dyDescent="0.25">
      <c r="B61" s="22" t="s">
        <v>11</v>
      </c>
      <c r="C61" s="6"/>
      <c r="D61" s="6">
        <f>SUM(D62:D63)</f>
        <v>-52920000</v>
      </c>
      <c r="E61" s="6">
        <f t="shared" ref="E61:H61" si="2">SUM(E62:E63)</f>
        <v>-58344300</v>
      </c>
      <c r="F61" s="6">
        <f t="shared" si="2"/>
        <v>-64324590.75</v>
      </c>
      <c r="G61" s="6">
        <f t="shared" si="2"/>
        <v>-70917861.301874995</v>
      </c>
      <c r="H61" s="23">
        <f t="shared" si="2"/>
        <v>-78186942.085317194</v>
      </c>
      <c r="I61" s="4"/>
      <c r="J61" s="4"/>
      <c r="K61" s="4"/>
      <c r="L61" s="4"/>
      <c r="M61" s="4"/>
      <c r="N61" s="4"/>
      <c r="O61" s="4"/>
      <c r="P61" s="4"/>
    </row>
    <row r="62" spans="1:16" x14ac:dyDescent="0.25">
      <c r="B62" s="22" t="s">
        <v>174</v>
      </c>
      <c r="C62" s="6"/>
      <c r="D62" s="6">
        <f>-C37*(1+$E$33)*D31*360</f>
        <v>-22680000</v>
      </c>
      <c r="E62" s="6">
        <f t="shared" ref="E62:H63" si="3">+D62*(1+$E$33)^2</f>
        <v>-25004700</v>
      </c>
      <c r="F62" s="6">
        <f t="shared" si="3"/>
        <v>-27567681.75</v>
      </c>
      <c r="G62" s="6">
        <f t="shared" si="3"/>
        <v>-30393369.129375</v>
      </c>
      <c r="H62" s="23">
        <f t="shared" si="3"/>
        <v>-33508689.465135939</v>
      </c>
      <c r="I62" s="4"/>
      <c r="J62" s="4"/>
      <c r="K62" s="14"/>
      <c r="L62" s="4"/>
      <c r="M62" s="4"/>
      <c r="N62" s="4"/>
      <c r="O62" s="4"/>
      <c r="P62" s="4"/>
    </row>
    <row r="63" spans="1:16" x14ac:dyDescent="0.25">
      <c r="B63" s="22" t="s">
        <v>175</v>
      </c>
      <c r="C63" s="6"/>
      <c r="D63" s="6">
        <f>-C38*(1+$E$33)*D32*360</f>
        <v>-30240000</v>
      </c>
      <c r="E63" s="6">
        <f t="shared" si="3"/>
        <v>-33339600</v>
      </c>
      <c r="F63" s="6">
        <f t="shared" si="3"/>
        <v>-36756909</v>
      </c>
      <c r="G63" s="6">
        <f t="shared" si="3"/>
        <v>-40524492.172499999</v>
      </c>
      <c r="H63" s="23">
        <f t="shared" si="3"/>
        <v>-44678252.620181248</v>
      </c>
      <c r="I63" s="4"/>
      <c r="J63" s="4"/>
      <c r="K63" s="14"/>
      <c r="L63" s="4"/>
      <c r="M63" s="4"/>
      <c r="N63" s="4"/>
      <c r="O63" s="4"/>
      <c r="P63" s="4"/>
    </row>
    <row r="64" spans="1:16" x14ac:dyDescent="0.25">
      <c r="B64" s="22" t="s">
        <v>25</v>
      </c>
      <c r="C64" s="6"/>
      <c r="D64" s="6">
        <f>-$D$39</f>
        <v>-1000000</v>
      </c>
      <c r="E64" s="6">
        <f>-$E$39</f>
        <v>-1000000</v>
      </c>
      <c r="F64" s="6">
        <f>-$E$39</f>
        <v>-1000000</v>
      </c>
      <c r="G64" s="6">
        <f>-$E$39</f>
        <v>-1000000</v>
      </c>
      <c r="H64" s="23">
        <f>-$E$39</f>
        <v>-1000000</v>
      </c>
      <c r="I64" s="4"/>
      <c r="J64" s="4"/>
      <c r="K64" s="14"/>
      <c r="L64" s="4"/>
      <c r="M64" s="4"/>
      <c r="N64" s="4"/>
      <c r="O64" s="4"/>
      <c r="P64" s="4"/>
    </row>
    <row r="65" spans="1:16" x14ac:dyDescent="0.25">
      <c r="B65" s="22" t="s">
        <v>12</v>
      </c>
      <c r="C65" s="6"/>
      <c r="D65" s="6">
        <f>-$C$46*$D$41-$C$47*$D$42-$C$48*$D$42</f>
        <v>-4400000</v>
      </c>
      <c r="E65" s="6">
        <f>-$C$46*$D$41-$C$47*$D$42-$C$48*$D$42</f>
        <v>-4400000</v>
      </c>
      <c r="F65" s="6">
        <f>-$C$46*$D$41-$C$47*$D$42-$C$48*$D$42</f>
        <v>-4400000</v>
      </c>
      <c r="G65" s="6">
        <f>-$C$46*$D$41-$C$47*$D$42-$C$48*$D$42</f>
        <v>-4400000</v>
      </c>
      <c r="H65" s="23">
        <f>-$C$46*$D$41-$C$47*$D$42-$C$48*$D$42</f>
        <v>-4400000</v>
      </c>
      <c r="I65" s="4"/>
      <c r="J65" s="4"/>
      <c r="K65" s="14"/>
      <c r="L65" s="4"/>
      <c r="M65" s="4"/>
      <c r="N65" s="4"/>
      <c r="O65" s="4"/>
      <c r="P65" s="4"/>
    </row>
    <row r="66" spans="1:16" x14ac:dyDescent="0.25">
      <c r="B66" s="22" t="s">
        <v>27</v>
      </c>
      <c r="C66" s="6"/>
      <c r="D66" s="6">
        <f>-((D57+D61+D64+D65+D60))*$D$43</f>
        <v>-7128000</v>
      </c>
      <c r="E66" s="6">
        <f>-((E57+E61+E64+E65+E60))*$D$43</f>
        <v>-6731910</v>
      </c>
      <c r="F66" s="6">
        <f>-((F57+F61+F64+F65+F60))*$D$43</f>
        <v>-6230582.7749999994</v>
      </c>
      <c r="G66" s="6">
        <f>-((G57+G61+G64+G65+G60))*$D$43</f>
        <v>-5609999.6094375011</v>
      </c>
      <c r="H66" s="23">
        <f>-((H57+H61+H64+H65+H60))*$D$43</f>
        <v>-3954543.2744048415</v>
      </c>
      <c r="I66" s="4"/>
      <c r="J66" s="4"/>
      <c r="K66" s="14"/>
      <c r="L66" s="4"/>
      <c r="M66" s="4"/>
      <c r="N66" s="4"/>
      <c r="O66" s="4"/>
      <c r="P66" s="4"/>
    </row>
    <row r="67" spans="1:16" x14ac:dyDescent="0.25">
      <c r="B67" s="35" t="s">
        <v>14</v>
      </c>
      <c r="C67" s="59"/>
      <c r="D67" s="59">
        <f>+D57+D60+D61+D64+D65+D66</f>
        <v>16632000</v>
      </c>
      <c r="E67" s="59">
        <f t="shared" ref="E67:G67" si="4">+E57+E60+E61+E64+E65+E66</f>
        <v>15707790</v>
      </c>
      <c r="F67" s="59">
        <f t="shared" si="4"/>
        <v>14538026.475000001</v>
      </c>
      <c r="G67" s="59">
        <f t="shared" si="4"/>
        <v>13089999.088687504</v>
      </c>
      <c r="H67" s="36">
        <f>+H57+H60+H61+H64+H65+H66</f>
        <v>9227267.6402779631</v>
      </c>
      <c r="I67" s="4"/>
      <c r="J67" s="4"/>
      <c r="K67" s="4"/>
      <c r="L67" s="4"/>
      <c r="M67" s="4"/>
      <c r="N67" s="4"/>
      <c r="O67" s="4"/>
      <c r="P67" s="4"/>
    </row>
    <row r="68" spans="1:16" x14ac:dyDescent="0.25">
      <c r="B68" s="101"/>
      <c r="C68" s="101"/>
      <c r="D68" s="101"/>
      <c r="E68" s="101"/>
      <c r="F68" s="101"/>
      <c r="G68" s="101"/>
      <c r="H68" s="101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B70" s="31" t="s">
        <v>29</v>
      </c>
      <c r="C70" s="58" t="s">
        <v>0</v>
      </c>
      <c r="D70" s="58" t="s">
        <v>6</v>
      </c>
      <c r="E70" s="58" t="s">
        <v>7</v>
      </c>
      <c r="F70" s="58" t="s">
        <v>8</v>
      </c>
      <c r="G70" s="58" t="s">
        <v>1</v>
      </c>
      <c r="H70" s="34" t="s">
        <v>22</v>
      </c>
      <c r="I70" s="4"/>
      <c r="J70" s="4"/>
      <c r="K70" s="4"/>
      <c r="L70" s="4"/>
      <c r="M70" s="4"/>
      <c r="N70" s="4"/>
      <c r="O70" s="4"/>
      <c r="P70" s="4"/>
    </row>
    <row r="71" spans="1:16" x14ac:dyDescent="0.25">
      <c r="B71" s="22" t="s">
        <v>16</v>
      </c>
      <c r="C71" s="6"/>
      <c r="D71" s="6">
        <f>+D67</f>
        <v>16632000</v>
      </c>
      <c r="E71" s="6">
        <f t="shared" ref="E71:H71" si="5">+E67</f>
        <v>15707790</v>
      </c>
      <c r="F71" s="6">
        <f t="shared" si="5"/>
        <v>14538026.475000001</v>
      </c>
      <c r="G71" s="6">
        <f t="shared" si="5"/>
        <v>13089999.088687504</v>
      </c>
      <c r="H71" s="23">
        <f t="shared" si="5"/>
        <v>9227267.6402779631</v>
      </c>
      <c r="I71" s="4"/>
      <c r="J71" s="4"/>
      <c r="K71" s="4"/>
      <c r="L71" s="4"/>
      <c r="M71" s="4"/>
      <c r="N71" s="4"/>
      <c r="O71" s="4"/>
      <c r="P71" s="4"/>
    </row>
    <row r="72" spans="1:16" x14ac:dyDescent="0.25">
      <c r="B72" s="22" t="s">
        <v>17</v>
      </c>
      <c r="C72" s="6"/>
      <c r="D72" s="6">
        <f>-D65</f>
        <v>4400000</v>
      </c>
      <c r="E72" s="6">
        <f t="shared" ref="E72:H72" si="6">-E65</f>
        <v>4400000</v>
      </c>
      <c r="F72" s="6">
        <f t="shared" si="6"/>
        <v>4400000</v>
      </c>
      <c r="G72" s="6">
        <f t="shared" si="6"/>
        <v>4400000</v>
      </c>
      <c r="H72" s="23">
        <f t="shared" si="6"/>
        <v>4400000</v>
      </c>
      <c r="I72" s="4"/>
      <c r="J72" s="4"/>
      <c r="K72" s="4"/>
      <c r="L72" s="4"/>
      <c r="M72" s="4"/>
      <c r="N72" s="4"/>
      <c r="O72" s="4"/>
      <c r="P72" s="4"/>
    </row>
    <row r="73" spans="1:16" x14ac:dyDescent="0.25">
      <c r="B73" s="22" t="s">
        <v>33</v>
      </c>
      <c r="C73" s="6"/>
      <c r="D73" s="6"/>
      <c r="E73" s="6"/>
      <c r="F73" s="6"/>
      <c r="G73" s="6"/>
      <c r="H73" s="23">
        <f>-SUM(C77:G77)</f>
        <v>9976875.3000000007</v>
      </c>
      <c r="I73" s="4"/>
      <c r="J73" s="4"/>
      <c r="K73" s="4"/>
      <c r="L73" s="4"/>
      <c r="M73" s="4"/>
      <c r="N73" s="4"/>
      <c r="O73" s="4"/>
      <c r="P73" s="4"/>
    </row>
    <row r="74" spans="1:16" x14ac:dyDescent="0.25">
      <c r="B74" s="22" t="s">
        <v>18</v>
      </c>
      <c r="C74" s="6"/>
      <c r="D74" s="6"/>
      <c r="E74" s="6"/>
      <c r="F74" s="6"/>
      <c r="G74" s="6"/>
      <c r="H74" s="23">
        <f>+C45+C46+C47+C48+D65+E65+F65+G65+H65</f>
        <v>8000000</v>
      </c>
    </row>
    <row r="75" spans="1:16" x14ac:dyDescent="0.25">
      <c r="A75" s="71"/>
      <c r="B75" s="22" t="s">
        <v>2</v>
      </c>
      <c r="C75" s="6">
        <f>SUM(C76:C77)</f>
        <v>-38208000</v>
      </c>
      <c r="D75" s="6">
        <f t="shared" ref="D75:H75" si="7">SUM(D76:D77)</f>
        <v>-410400</v>
      </c>
      <c r="E75" s="6">
        <f t="shared" si="7"/>
        <v>-430920</v>
      </c>
      <c r="F75" s="6">
        <f t="shared" si="7"/>
        <v>-452466</v>
      </c>
      <c r="G75" s="6">
        <f t="shared" si="7"/>
        <v>-475089.30000000005</v>
      </c>
      <c r="H75" s="23">
        <f t="shared" si="7"/>
        <v>0</v>
      </c>
    </row>
    <row r="76" spans="1:16" x14ac:dyDescent="0.25">
      <c r="A76" s="71"/>
      <c r="B76" s="22" t="s">
        <v>35</v>
      </c>
      <c r="C76" s="6">
        <f>-SUM(C45:C48)</f>
        <v>-30000000</v>
      </c>
      <c r="D76" s="6"/>
      <c r="E76" s="6"/>
      <c r="F76" s="6"/>
      <c r="G76" s="6"/>
      <c r="H76" s="23"/>
    </row>
    <row r="77" spans="1:16" x14ac:dyDescent="0.25">
      <c r="A77" s="71"/>
      <c r="B77" s="22" t="s">
        <v>20</v>
      </c>
      <c r="C77" s="6">
        <f>-(D57-C57)*$C$50</f>
        <v>-8208000</v>
      </c>
      <c r="D77" s="6">
        <f>-(E57-D57)*$C$50</f>
        <v>-410400</v>
      </c>
      <c r="E77" s="6">
        <f>-(F57-E57)*$C$50</f>
        <v>-430920</v>
      </c>
      <c r="F77" s="6">
        <f>-(G57-F57)*$C$50</f>
        <v>-452466</v>
      </c>
      <c r="G77" s="6">
        <f>-(H57-G57)*$C$50</f>
        <v>-475089.30000000005</v>
      </c>
      <c r="H77" s="23"/>
    </row>
    <row r="78" spans="1:16" x14ac:dyDescent="0.25">
      <c r="A78" s="71"/>
      <c r="B78" s="35" t="s">
        <v>189</v>
      </c>
      <c r="C78" s="59">
        <f>SUM(C71:C75)</f>
        <v>-38208000</v>
      </c>
      <c r="D78" s="59">
        <f t="shared" ref="D78:H78" si="8">SUM(D71:D75)</f>
        <v>20621600</v>
      </c>
      <c r="E78" s="59">
        <f t="shared" si="8"/>
        <v>19676870</v>
      </c>
      <c r="F78" s="59">
        <f t="shared" si="8"/>
        <v>18485560.475000001</v>
      </c>
      <c r="G78" s="59">
        <f t="shared" si="8"/>
        <v>17014909.788687501</v>
      </c>
      <c r="H78" s="36">
        <f t="shared" si="8"/>
        <v>31604142.940277964</v>
      </c>
    </row>
    <row r="79" spans="1:16" x14ac:dyDescent="0.25">
      <c r="A79" s="71"/>
    </row>
    <row r="80" spans="1:16" x14ac:dyDescent="0.25">
      <c r="A80" s="71"/>
      <c r="B80" s="162"/>
      <c r="C80" s="163"/>
      <c r="D80" s="164"/>
    </row>
    <row r="81" spans="1:8" x14ac:dyDescent="0.25">
      <c r="A81" s="71"/>
      <c r="B81" s="224" t="s">
        <v>212</v>
      </c>
      <c r="C81" s="225"/>
      <c r="D81" s="226"/>
      <c r="E81" s="156"/>
      <c r="F81" s="156"/>
    </row>
    <row r="82" spans="1:8" x14ac:dyDescent="0.25">
      <c r="A82" s="71"/>
      <c r="B82" s="165"/>
      <c r="C82" s="135"/>
      <c r="D82" s="166"/>
      <c r="E82" s="4"/>
      <c r="F82" s="4"/>
    </row>
    <row r="83" spans="1:8" x14ac:dyDescent="0.25">
      <c r="A83" s="71"/>
      <c r="B83" s="28"/>
      <c r="C83" s="124" t="s">
        <v>0</v>
      </c>
      <c r="D83" s="126" t="s">
        <v>163</v>
      </c>
      <c r="E83" s="82"/>
      <c r="F83" s="82"/>
    </row>
    <row r="84" spans="1:8" x14ac:dyDescent="0.25">
      <c r="A84" s="71"/>
      <c r="B84" s="22" t="s">
        <v>172</v>
      </c>
      <c r="C84" s="150"/>
      <c r="D84" s="168">
        <v>400</v>
      </c>
      <c r="E84" s="82"/>
      <c r="F84" s="82"/>
    </row>
    <row r="85" spans="1:8" x14ac:dyDescent="0.25">
      <c r="A85" s="71"/>
      <c r="B85" s="22" t="s">
        <v>173</v>
      </c>
      <c r="C85" s="150"/>
      <c r="D85" s="168">
        <v>800</v>
      </c>
      <c r="E85" s="82"/>
      <c r="F85" s="82"/>
    </row>
    <row r="86" spans="1:8" x14ac:dyDescent="0.25">
      <c r="B86" s="22" t="s">
        <v>23</v>
      </c>
      <c r="C86" s="6"/>
      <c r="D86" s="23">
        <v>180</v>
      </c>
      <c r="E86" s="82"/>
      <c r="F86" s="82"/>
    </row>
    <row r="87" spans="1:8" x14ac:dyDescent="0.25">
      <c r="B87" s="22" t="s">
        <v>24</v>
      </c>
      <c r="C87" s="6"/>
      <c r="D87" s="23">
        <v>120</v>
      </c>
      <c r="E87" s="6"/>
      <c r="F87" s="6"/>
    </row>
    <row r="88" spans="1:8" x14ac:dyDescent="0.25">
      <c r="B88" s="22" t="s">
        <v>11</v>
      </c>
      <c r="C88" s="6"/>
      <c r="D88" s="23"/>
      <c r="E88" s="6"/>
    </row>
    <row r="89" spans="1:8" x14ac:dyDescent="0.25">
      <c r="B89" s="22" t="s">
        <v>174</v>
      </c>
      <c r="C89" s="6">
        <v>100</v>
      </c>
      <c r="D89" s="23"/>
      <c r="E89" s="6"/>
      <c r="F89" s="6"/>
    </row>
    <row r="90" spans="1:8" x14ac:dyDescent="0.25">
      <c r="B90" s="22" t="s">
        <v>175</v>
      </c>
      <c r="C90" s="6">
        <v>80</v>
      </c>
      <c r="D90" s="23"/>
      <c r="E90" s="4"/>
      <c r="F90" s="6"/>
      <c r="H90" s="4"/>
    </row>
    <row r="91" spans="1:8" x14ac:dyDescent="0.25">
      <c r="B91" s="22" t="s">
        <v>188</v>
      </c>
      <c r="C91" s="150"/>
      <c r="D91" s="45">
        <v>0.05</v>
      </c>
      <c r="E91" s="4"/>
      <c r="F91" s="6"/>
      <c r="H91" s="4"/>
    </row>
    <row r="92" spans="1:8" x14ac:dyDescent="0.25">
      <c r="B92" s="22" t="s">
        <v>25</v>
      </c>
      <c r="C92" s="6"/>
      <c r="D92" s="23">
        <v>1000000</v>
      </c>
      <c r="E92" s="4"/>
      <c r="F92" s="6"/>
    </row>
    <row r="93" spans="1:8" x14ac:dyDescent="0.25">
      <c r="B93" s="167" t="s">
        <v>178</v>
      </c>
      <c r="C93" s="150"/>
      <c r="D93" s="169">
        <v>0.3</v>
      </c>
      <c r="E93" s="4"/>
      <c r="F93" s="4"/>
    </row>
    <row r="94" spans="1:8" x14ac:dyDescent="0.25">
      <c r="B94" s="167" t="s">
        <v>182</v>
      </c>
      <c r="C94" s="151">
        <v>0.1</v>
      </c>
      <c r="D94" s="23"/>
      <c r="E94" s="157"/>
    </row>
    <row r="95" spans="1:8" x14ac:dyDescent="0.25">
      <c r="B95" s="170"/>
      <c r="C95" s="171"/>
      <c r="D95" s="148"/>
    </row>
    <row r="97" spans="2:8" x14ac:dyDescent="0.25">
      <c r="B97" s="31" t="s">
        <v>186</v>
      </c>
      <c r="C97" s="174"/>
      <c r="D97" s="174"/>
      <c r="E97" s="174"/>
      <c r="F97" s="174"/>
      <c r="G97" s="174"/>
      <c r="H97" s="133"/>
    </row>
    <row r="98" spans="2:8" x14ac:dyDescent="0.25">
      <c r="B98" s="89" t="s">
        <v>5</v>
      </c>
      <c r="C98" s="29" t="s">
        <v>0</v>
      </c>
      <c r="D98" s="29" t="s">
        <v>6</v>
      </c>
      <c r="E98" s="29" t="s">
        <v>7</v>
      </c>
      <c r="F98" s="29" t="s">
        <v>8</v>
      </c>
      <c r="G98" s="29" t="s">
        <v>1</v>
      </c>
      <c r="H98" s="30" t="s">
        <v>22</v>
      </c>
    </row>
    <row r="99" spans="2:8" x14ac:dyDescent="0.25">
      <c r="B99" s="22" t="s">
        <v>9</v>
      </c>
      <c r="C99" s="6"/>
      <c r="D99" s="6">
        <f>SUM(D100:D101)</f>
        <v>60480000</v>
      </c>
      <c r="E99" s="6">
        <f t="shared" ref="E99:H99" si="9">SUM(E100:E101)</f>
        <v>60480000</v>
      </c>
      <c r="F99" s="6">
        <f t="shared" si="9"/>
        <v>60480000</v>
      </c>
      <c r="G99" s="6">
        <f t="shared" si="9"/>
        <v>60480000</v>
      </c>
      <c r="H99" s="23">
        <f t="shared" si="9"/>
        <v>60480000</v>
      </c>
    </row>
    <row r="100" spans="2:8" x14ac:dyDescent="0.25">
      <c r="B100" s="22" t="s">
        <v>174</v>
      </c>
      <c r="C100" s="6"/>
      <c r="D100" s="6">
        <f>+$D$84*360*$D$86</f>
        <v>25920000</v>
      </c>
      <c r="E100" s="6">
        <f t="shared" ref="E100:H100" si="10">+$D$84*360*$D$86</f>
        <v>25920000</v>
      </c>
      <c r="F100" s="6">
        <f t="shared" si="10"/>
        <v>25920000</v>
      </c>
      <c r="G100" s="6">
        <f t="shared" si="10"/>
        <v>25920000</v>
      </c>
      <c r="H100" s="23">
        <f t="shared" si="10"/>
        <v>25920000</v>
      </c>
    </row>
    <row r="101" spans="2:8" x14ac:dyDescent="0.25">
      <c r="B101" s="22" t="s">
        <v>175</v>
      </c>
      <c r="C101" s="6"/>
      <c r="D101" s="6">
        <f>+$D$85*360*$D$87</f>
        <v>34560000</v>
      </c>
      <c r="E101" s="6">
        <f t="shared" ref="E101:H101" si="11">+$D$85*360*$D$87</f>
        <v>34560000</v>
      </c>
      <c r="F101" s="6">
        <f t="shared" si="11"/>
        <v>34560000</v>
      </c>
      <c r="G101" s="6">
        <f t="shared" si="11"/>
        <v>34560000</v>
      </c>
      <c r="H101" s="23">
        <f t="shared" si="11"/>
        <v>34560000</v>
      </c>
    </row>
    <row r="102" spans="2:8" x14ac:dyDescent="0.25">
      <c r="B102" s="22" t="s">
        <v>11</v>
      </c>
      <c r="C102" s="6"/>
      <c r="D102" s="6">
        <f>SUM(D103:D104)</f>
        <v>-39312000</v>
      </c>
      <c r="E102" s="6">
        <f t="shared" ref="E102" si="12">SUM(E103:E104)</f>
        <v>-41277600</v>
      </c>
      <c r="F102" s="6">
        <f t="shared" ref="F102" si="13">SUM(F103:F104)</f>
        <v>-43341480</v>
      </c>
      <c r="G102" s="6">
        <f t="shared" ref="G102" si="14">SUM(G103:G104)</f>
        <v>-45508554</v>
      </c>
      <c r="H102" s="23">
        <f t="shared" ref="H102" si="15">SUM(H103:H104)</f>
        <v>-47783981.700000003</v>
      </c>
    </row>
    <row r="103" spans="2:8" x14ac:dyDescent="0.25">
      <c r="B103" s="22" t="s">
        <v>174</v>
      </c>
      <c r="C103" s="6"/>
      <c r="D103" s="6">
        <f>-C89*(1+D91)*D84*360</f>
        <v>-15120000</v>
      </c>
      <c r="E103" s="6">
        <f t="shared" ref="E103:H104" si="16">+D103*(1+$D$91)</f>
        <v>-15876000</v>
      </c>
      <c r="F103" s="6">
        <f t="shared" si="16"/>
        <v>-16669800</v>
      </c>
      <c r="G103" s="6">
        <f t="shared" si="16"/>
        <v>-17503290</v>
      </c>
      <c r="H103" s="23">
        <f t="shared" si="16"/>
        <v>-18378454.5</v>
      </c>
    </row>
    <row r="104" spans="2:8" x14ac:dyDescent="0.25">
      <c r="B104" s="22" t="s">
        <v>175</v>
      </c>
      <c r="C104" s="6"/>
      <c r="D104" s="6">
        <f>-C90*(1+D91)*D85*360</f>
        <v>-24192000</v>
      </c>
      <c r="E104" s="6">
        <f t="shared" si="16"/>
        <v>-25401600</v>
      </c>
      <c r="F104" s="6">
        <f t="shared" si="16"/>
        <v>-26671680</v>
      </c>
      <c r="G104" s="6">
        <f t="shared" si="16"/>
        <v>-28005264</v>
      </c>
      <c r="H104" s="23">
        <f t="shared" si="16"/>
        <v>-29405527.200000003</v>
      </c>
    </row>
    <row r="105" spans="2:8" x14ac:dyDescent="0.25">
      <c r="B105" s="22" t="s">
        <v>25</v>
      </c>
      <c r="C105" s="6"/>
      <c r="D105" s="6">
        <f>-$D$92</f>
        <v>-1000000</v>
      </c>
      <c r="E105" s="6">
        <f>-$D$92</f>
        <v>-1000000</v>
      </c>
      <c r="F105" s="6">
        <f>-$D$92</f>
        <v>-1000000</v>
      </c>
      <c r="G105" s="6">
        <f>-$D$92</f>
        <v>-1000000</v>
      </c>
      <c r="H105" s="23">
        <f>-$D$92</f>
        <v>-1000000</v>
      </c>
    </row>
    <row r="106" spans="2:8" x14ac:dyDescent="0.25">
      <c r="B106" s="22" t="s">
        <v>27</v>
      </c>
      <c r="C106" s="6"/>
      <c r="D106" s="6">
        <f>-((D99+D102+D105))*$D$93</f>
        <v>-6050400</v>
      </c>
      <c r="E106" s="6">
        <f t="shared" ref="E106:H106" si="17">-((E99+E102+E105))*$D$93</f>
        <v>-5460720</v>
      </c>
      <c r="F106" s="6">
        <f t="shared" si="17"/>
        <v>-4841556</v>
      </c>
      <c r="G106" s="6">
        <f t="shared" si="17"/>
        <v>-4191433.8</v>
      </c>
      <c r="H106" s="23">
        <f t="shared" si="17"/>
        <v>-3508805.4899999988</v>
      </c>
    </row>
    <row r="107" spans="2:8" x14ac:dyDescent="0.25">
      <c r="B107" s="35" t="s">
        <v>14</v>
      </c>
      <c r="C107" s="59"/>
      <c r="D107" s="59">
        <f>+D99+D102+D105+D106</f>
        <v>14117600</v>
      </c>
      <c r="E107" s="59">
        <f t="shared" ref="E107:H107" si="18">+E99+E102+E105+E106</f>
        <v>12741680</v>
      </c>
      <c r="F107" s="59">
        <f t="shared" si="18"/>
        <v>11296964</v>
      </c>
      <c r="G107" s="59">
        <f t="shared" si="18"/>
        <v>9780012.1999999993</v>
      </c>
      <c r="H107" s="36">
        <f t="shared" si="18"/>
        <v>8187212.8099999987</v>
      </c>
    </row>
    <row r="108" spans="2:8" x14ac:dyDescent="0.25">
      <c r="B108" s="101"/>
      <c r="C108" s="101"/>
      <c r="D108" s="101"/>
      <c r="E108" s="101"/>
      <c r="F108" s="101"/>
      <c r="G108" s="101"/>
      <c r="H108" s="101"/>
    </row>
    <row r="109" spans="2:8" x14ac:dyDescent="0.25">
      <c r="B109" s="4"/>
      <c r="C109" s="4"/>
      <c r="D109" s="4"/>
      <c r="E109" s="4"/>
      <c r="F109" s="4"/>
      <c r="G109" s="4"/>
      <c r="H109" s="4"/>
    </row>
    <row r="110" spans="2:8" x14ac:dyDescent="0.25">
      <c r="B110" s="31" t="s">
        <v>29</v>
      </c>
      <c r="C110" s="58" t="s">
        <v>0</v>
      </c>
      <c r="D110" s="58" t="s">
        <v>6</v>
      </c>
      <c r="E110" s="58" t="s">
        <v>7</v>
      </c>
      <c r="F110" s="58" t="s">
        <v>8</v>
      </c>
      <c r="G110" s="58" t="s">
        <v>1</v>
      </c>
      <c r="H110" s="34" t="s">
        <v>22</v>
      </c>
    </row>
    <row r="111" spans="2:8" x14ac:dyDescent="0.25">
      <c r="B111" s="22" t="s">
        <v>16</v>
      </c>
      <c r="C111" s="6"/>
      <c r="D111" s="6">
        <f>+D107</f>
        <v>14117600</v>
      </c>
      <c r="E111" s="6">
        <f t="shared" ref="E111:H111" si="19">+E107</f>
        <v>12741680</v>
      </c>
      <c r="F111" s="6">
        <f t="shared" si="19"/>
        <v>11296964</v>
      </c>
      <c r="G111" s="6">
        <f t="shared" si="19"/>
        <v>9780012.1999999993</v>
      </c>
      <c r="H111" s="23">
        <f t="shared" si="19"/>
        <v>8187212.8099999987</v>
      </c>
    </row>
    <row r="112" spans="2:8" x14ac:dyDescent="0.25">
      <c r="B112" s="22" t="s">
        <v>17</v>
      </c>
      <c r="C112" s="6"/>
      <c r="D112" s="6">
        <v>0</v>
      </c>
      <c r="E112" s="6">
        <v>0</v>
      </c>
      <c r="F112" s="6">
        <v>0</v>
      </c>
      <c r="G112" s="6">
        <v>0</v>
      </c>
      <c r="H112" s="23">
        <v>0</v>
      </c>
    </row>
    <row r="113" spans="2:15" x14ac:dyDescent="0.25">
      <c r="B113" s="22" t="s">
        <v>33</v>
      </c>
      <c r="C113" s="6"/>
      <c r="D113" s="6"/>
      <c r="E113" s="6"/>
      <c r="F113" s="6"/>
      <c r="G113" s="6"/>
      <c r="H113" s="23">
        <f>-SUM(C117:G117)</f>
        <v>6048000</v>
      </c>
    </row>
    <row r="114" spans="2:15" x14ac:dyDescent="0.25">
      <c r="B114" s="22" t="s">
        <v>18</v>
      </c>
      <c r="C114" s="6"/>
      <c r="D114" s="6"/>
      <c r="E114" s="6"/>
      <c r="F114" s="6"/>
      <c r="G114" s="6"/>
      <c r="H114" s="23">
        <v>0</v>
      </c>
    </row>
    <row r="115" spans="2:15" x14ac:dyDescent="0.25">
      <c r="B115" s="22" t="s">
        <v>2</v>
      </c>
      <c r="C115" s="6">
        <f>SUM(C116:C117)</f>
        <v>-6048000</v>
      </c>
      <c r="D115" s="6">
        <f t="shared" ref="D115:H115" si="20">SUM(D116:D117)</f>
        <v>0</v>
      </c>
      <c r="E115" s="6">
        <f t="shared" si="20"/>
        <v>0</v>
      </c>
      <c r="F115" s="6">
        <f t="shared" si="20"/>
        <v>0</v>
      </c>
      <c r="G115" s="6">
        <f t="shared" si="20"/>
        <v>0</v>
      </c>
      <c r="H115" s="23">
        <f t="shared" si="20"/>
        <v>0</v>
      </c>
    </row>
    <row r="116" spans="2:15" x14ac:dyDescent="0.25">
      <c r="B116" s="22" t="s">
        <v>35</v>
      </c>
      <c r="C116" s="6">
        <v>0</v>
      </c>
      <c r="D116" s="6"/>
      <c r="E116" s="6"/>
      <c r="F116" s="6"/>
      <c r="G116" s="6"/>
      <c r="H116" s="23"/>
    </row>
    <row r="117" spans="2:15" x14ac:dyDescent="0.25">
      <c r="B117" s="22" t="s">
        <v>20</v>
      </c>
      <c r="C117" s="6">
        <f>-(D99-C99)*$C$50</f>
        <v>-6048000</v>
      </c>
      <c r="D117" s="6">
        <f>-(E99-D99)*$C$50</f>
        <v>0</v>
      </c>
      <c r="E117" s="6">
        <f>-(F99-E99)*$C$50</f>
        <v>0</v>
      </c>
      <c r="F117" s="6">
        <f>-(G99-F99)*$C$50</f>
        <v>0</v>
      </c>
      <c r="G117" s="6">
        <f>-(H99-G99)*$C$50</f>
        <v>0</v>
      </c>
      <c r="H117" s="23"/>
    </row>
    <row r="118" spans="2:15" x14ac:dyDescent="0.25">
      <c r="B118" s="35" t="s">
        <v>190</v>
      </c>
      <c r="C118" s="59">
        <f>SUM(C111:C115)</f>
        <v>-6048000</v>
      </c>
      <c r="D118" s="59">
        <f t="shared" ref="D118:H118" si="21">SUM(D111:D115)</f>
        <v>14117600</v>
      </c>
      <c r="E118" s="59">
        <f t="shared" si="21"/>
        <v>12741680</v>
      </c>
      <c r="F118" s="59">
        <f t="shared" si="21"/>
        <v>11296964</v>
      </c>
      <c r="G118" s="59">
        <f t="shared" si="21"/>
        <v>9780012.1999999993</v>
      </c>
      <c r="H118" s="36">
        <f t="shared" si="21"/>
        <v>14235212.809999999</v>
      </c>
    </row>
    <row r="120" spans="2:15" x14ac:dyDescent="0.25">
      <c r="B120" s="31"/>
      <c r="C120" s="58" t="s">
        <v>0</v>
      </c>
      <c r="D120" s="58" t="s">
        <v>6</v>
      </c>
      <c r="E120" s="58" t="s">
        <v>7</v>
      </c>
      <c r="F120" s="58" t="s">
        <v>8</v>
      </c>
      <c r="G120" s="58" t="s">
        <v>1</v>
      </c>
      <c r="H120" s="34" t="s">
        <v>22</v>
      </c>
    </row>
    <row r="121" spans="2:15" x14ac:dyDescent="0.25">
      <c r="B121" s="167" t="s">
        <v>189</v>
      </c>
      <c r="C121" s="6">
        <f t="shared" ref="C121:H121" si="22">+C78</f>
        <v>-38208000</v>
      </c>
      <c r="D121" s="6">
        <f t="shared" si="22"/>
        <v>20621600</v>
      </c>
      <c r="E121" s="6">
        <f t="shared" si="22"/>
        <v>19676870</v>
      </c>
      <c r="F121" s="6">
        <f t="shared" si="22"/>
        <v>18485560.475000001</v>
      </c>
      <c r="G121" s="6">
        <f t="shared" si="22"/>
        <v>17014909.788687501</v>
      </c>
      <c r="H121" s="23">
        <f t="shared" si="22"/>
        <v>31604142.940277964</v>
      </c>
    </row>
    <row r="122" spans="2:15" x14ac:dyDescent="0.25">
      <c r="B122" s="167" t="s">
        <v>190</v>
      </c>
      <c r="C122" s="6">
        <f>+C118</f>
        <v>-6048000</v>
      </c>
      <c r="D122" s="6">
        <f t="shared" ref="D122:H122" si="23">+D118</f>
        <v>14117600</v>
      </c>
      <c r="E122" s="6">
        <f t="shared" si="23"/>
        <v>12741680</v>
      </c>
      <c r="F122" s="6">
        <f t="shared" si="23"/>
        <v>11296964</v>
      </c>
      <c r="G122" s="6">
        <f t="shared" si="23"/>
        <v>9780012.1999999993</v>
      </c>
      <c r="H122" s="23">
        <f t="shared" si="23"/>
        <v>14235212.809999999</v>
      </c>
    </row>
    <row r="123" spans="2:15" x14ac:dyDescent="0.25">
      <c r="B123" s="175" t="s">
        <v>193</v>
      </c>
      <c r="C123" s="59">
        <f>+C121-C122</f>
        <v>-32160000</v>
      </c>
      <c r="D123" s="59">
        <f t="shared" ref="D123:H123" si="24">+D121-D122</f>
        <v>6504000</v>
      </c>
      <c r="E123" s="59">
        <f t="shared" si="24"/>
        <v>6935190</v>
      </c>
      <c r="F123" s="59">
        <f t="shared" si="24"/>
        <v>7188596.4750000015</v>
      </c>
      <c r="G123" s="59">
        <f t="shared" si="24"/>
        <v>7234897.5886875018</v>
      </c>
      <c r="H123" s="36">
        <f t="shared" si="24"/>
        <v>17368930.130277965</v>
      </c>
    </row>
    <row r="125" spans="2:15" x14ac:dyDescent="0.25">
      <c r="B125" s="31"/>
      <c r="C125" s="58" t="s">
        <v>0</v>
      </c>
      <c r="D125" s="58" t="s">
        <v>6</v>
      </c>
      <c r="E125" s="58" t="s">
        <v>7</v>
      </c>
      <c r="F125" s="58" t="s">
        <v>8</v>
      </c>
      <c r="G125" s="58" t="s">
        <v>1</v>
      </c>
      <c r="H125" s="34" t="s">
        <v>22</v>
      </c>
    </row>
    <row r="126" spans="2:15" x14ac:dyDescent="0.25">
      <c r="B126" s="167" t="s">
        <v>191</v>
      </c>
      <c r="C126" s="6">
        <f t="shared" ref="C126:H126" si="25">+C123</f>
        <v>-32160000</v>
      </c>
      <c r="D126" s="6">
        <f t="shared" si="25"/>
        <v>6504000</v>
      </c>
      <c r="E126" s="6">
        <f t="shared" si="25"/>
        <v>6935190</v>
      </c>
      <c r="F126" s="6">
        <f t="shared" si="25"/>
        <v>7188596.4750000015</v>
      </c>
      <c r="G126" s="6">
        <f t="shared" si="25"/>
        <v>7234897.5886875018</v>
      </c>
      <c r="H126" s="23">
        <f t="shared" si="25"/>
        <v>17368930.130277965</v>
      </c>
      <c r="J126" s="31" t="s">
        <v>30</v>
      </c>
      <c r="K126" s="58" t="s">
        <v>0</v>
      </c>
      <c r="L126" s="58" t="s">
        <v>6</v>
      </c>
      <c r="M126" s="58" t="s">
        <v>7</v>
      </c>
      <c r="N126" s="58" t="s">
        <v>8</v>
      </c>
      <c r="O126" s="34" t="s">
        <v>1</v>
      </c>
    </row>
    <row r="127" spans="2:15" x14ac:dyDescent="0.25">
      <c r="B127" s="167" t="s">
        <v>36</v>
      </c>
      <c r="C127" s="150"/>
      <c r="D127" s="6">
        <f>-L130</f>
        <v>-5441700.3219164172</v>
      </c>
      <c r="E127" s="6">
        <f>-M130</f>
        <v>-5441700.3219164172</v>
      </c>
      <c r="F127" s="6">
        <f>-N130</f>
        <v>-5441700.3219164172</v>
      </c>
      <c r="G127" s="6">
        <f>-O130</f>
        <v>-5441700.3219164172</v>
      </c>
      <c r="H127" s="23"/>
      <c r="J127" s="22" t="s">
        <v>31</v>
      </c>
      <c r="K127" s="6">
        <f>-C123*C52</f>
        <v>19296000</v>
      </c>
      <c r="L127" s="6">
        <f>+K127-L128</f>
        <v>14819099.678083584</v>
      </c>
      <c r="M127" s="6">
        <f>+L127-M128</f>
        <v>10118354.340071347</v>
      </c>
      <c r="N127" s="6">
        <f t="shared" ref="N127:O127" si="26">+M127-N128</f>
        <v>5182571.7351584965</v>
      </c>
      <c r="O127" s="23">
        <f t="shared" si="26"/>
        <v>0</v>
      </c>
    </row>
    <row r="128" spans="2:15" x14ac:dyDescent="0.25">
      <c r="B128" s="167" t="s">
        <v>37</v>
      </c>
      <c r="C128" s="150"/>
      <c r="D128" s="6">
        <f>+L129*$D$43</f>
        <v>289440</v>
      </c>
      <c r="E128" s="6">
        <f>+M129*$D$43</f>
        <v>222286.49517125374</v>
      </c>
      <c r="F128" s="6">
        <f>+N129*$D$43</f>
        <v>151775.31510107021</v>
      </c>
      <c r="G128" s="6">
        <f>+O129*$D$43</f>
        <v>77738.57602737745</v>
      </c>
      <c r="H128" s="23"/>
      <c r="J128" s="22" t="s">
        <v>32</v>
      </c>
      <c r="K128" s="6"/>
      <c r="L128" s="6">
        <f>+L130-L129</f>
        <v>4476900.3219164172</v>
      </c>
      <c r="M128" s="6">
        <f t="shared" ref="M128:O128" si="27">+M130-M129</f>
        <v>4700745.338012238</v>
      </c>
      <c r="N128" s="6">
        <f t="shared" si="27"/>
        <v>4935782.6049128501</v>
      </c>
      <c r="O128" s="23">
        <f t="shared" si="27"/>
        <v>5182571.7351584928</v>
      </c>
    </row>
    <row r="129" spans="1:15" x14ac:dyDescent="0.25">
      <c r="B129" s="167" t="s">
        <v>38</v>
      </c>
      <c r="C129" s="6">
        <f>+K127</f>
        <v>19296000</v>
      </c>
      <c r="D129" s="150"/>
      <c r="E129" s="150"/>
      <c r="F129" s="150"/>
      <c r="G129" s="150"/>
      <c r="H129" s="146"/>
      <c r="J129" s="22" t="s">
        <v>28</v>
      </c>
      <c r="K129" s="6"/>
      <c r="L129" s="6">
        <f>+K127*$C$51</f>
        <v>964800</v>
      </c>
      <c r="M129" s="6">
        <f>+L127*$C$51</f>
        <v>740954.98390417919</v>
      </c>
      <c r="N129" s="6">
        <f t="shared" ref="N129:O129" si="28">+M127*$C$51</f>
        <v>505917.71700356738</v>
      </c>
      <c r="O129" s="23">
        <f t="shared" si="28"/>
        <v>259128.58675792484</v>
      </c>
    </row>
    <row r="130" spans="1:15" x14ac:dyDescent="0.25">
      <c r="B130" s="175" t="s">
        <v>192</v>
      </c>
      <c r="C130" s="59">
        <f>SUM(C127:C129)</f>
        <v>19296000</v>
      </c>
      <c r="D130" s="59">
        <f t="shared" ref="D130:G130" si="29">SUM(D127:D129)</f>
        <v>-5152260.3219164172</v>
      </c>
      <c r="E130" s="59">
        <f t="shared" si="29"/>
        <v>-5219413.8267451636</v>
      </c>
      <c r="F130" s="59">
        <f t="shared" si="29"/>
        <v>-5289925.0068153469</v>
      </c>
      <c r="G130" s="59">
        <f t="shared" si="29"/>
        <v>-5363961.7458890397</v>
      </c>
      <c r="H130" s="176"/>
      <c r="J130" s="195" t="s">
        <v>34</v>
      </c>
      <c r="K130" s="192"/>
      <c r="L130" s="192">
        <f>PMT($C$51,4,-$K$127)</f>
        <v>5441700.3219164172</v>
      </c>
      <c r="M130" s="192">
        <f>PMT($C$51,4,-$K$127)</f>
        <v>5441700.3219164172</v>
      </c>
      <c r="N130" s="192">
        <f>PMT($C$51,4,-$K$127)</f>
        <v>5441700.3219164172</v>
      </c>
      <c r="O130" s="196">
        <f>PMT($C$51,4,-$K$127)</f>
        <v>5441700.3219164172</v>
      </c>
    </row>
    <row r="131" spans="1:15" x14ac:dyDescent="0.25">
      <c r="B131" s="175" t="s">
        <v>39</v>
      </c>
      <c r="C131" s="59">
        <f>+C126+C130</f>
        <v>-12864000</v>
      </c>
      <c r="D131" s="59">
        <f t="shared" ref="D131:H131" si="30">+D126+D130</f>
        <v>1351739.6780835828</v>
      </c>
      <c r="E131" s="59">
        <f t="shared" si="30"/>
        <v>1715776.1732548364</v>
      </c>
      <c r="F131" s="59">
        <f t="shared" si="30"/>
        <v>1898671.4681846546</v>
      </c>
      <c r="G131" s="59">
        <f t="shared" si="30"/>
        <v>1870935.8427984621</v>
      </c>
      <c r="H131" s="36">
        <f t="shared" si="30"/>
        <v>17368930.130277965</v>
      </c>
    </row>
    <row r="133" spans="1:15" x14ac:dyDescent="0.25">
      <c r="D133" s="4"/>
      <c r="E133" s="4"/>
      <c r="F133" s="4"/>
      <c r="G133" s="4"/>
      <c r="H133" s="4"/>
    </row>
    <row r="134" spans="1:15" x14ac:dyDescent="0.25">
      <c r="A134" s="143" t="s">
        <v>213</v>
      </c>
      <c r="B134" s="4" t="s">
        <v>214</v>
      </c>
      <c r="C134" s="4"/>
      <c r="D134" s="4"/>
      <c r="E134" s="4"/>
      <c r="F134" s="4"/>
      <c r="G134" s="4"/>
      <c r="H134" s="4"/>
    </row>
    <row r="135" spans="1:15" x14ac:dyDescent="0.25">
      <c r="B135" s="4"/>
      <c r="C135" s="4"/>
      <c r="D135" s="4"/>
      <c r="E135" s="4"/>
      <c r="F135" s="4"/>
      <c r="G135" s="4"/>
      <c r="H135" s="4"/>
    </row>
    <row r="136" spans="1:15" x14ac:dyDescent="0.25">
      <c r="B136" s="31" t="s">
        <v>51</v>
      </c>
      <c r="C136" s="58" t="s">
        <v>0</v>
      </c>
      <c r="D136" s="58" t="s">
        <v>6</v>
      </c>
      <c r="E136" s="58" t="s">
        <v>7</v>
      </c>
      <c r="F136" s="58" t="s">
        <v>8</v>
      </c>
      <c r="G136" s="58" t="s">
        <v>1</v>
      </c>
      <c r="H136" s="34" t="s">
        <v>22</v>
      </c>
    </row>
    <row r="137" spans="1:15" x14ac:dyDescent="0.25">
      <c r="B137" s="22" t="s">
        <v>9</v>
      </c>
      <c r="C137" s="6"/>
      <c r="D137" s="6">
        <f>SUM(D138:D139)</f>
        <v>21600000</v>
      </c>
      <c r="E137" s="6">
        <f t="shared" ref="E137:H137" si="31">SUM(E138:E139)</f>
        <v>25704000</v>
      </c>
      <c r="F137" s="6">
        <f t="shared" si="31"/>
        <v>30013200</v>
      </c>
      <c r="G137" s="6">
        <f t="shared" si="31"/>
        <v>34537860.000000015</v>
      </c>
      <c r="H137" s="23">
        <f t="shared" si="31"/>
        <v>39288753</v>
      </c>
    </row>
    <row r="138" spans="1:15" x14ac:dyDescent="0.25">
      <c r="B138" s="22" t="s">
        <v>174</v>
      </c>
      <c r="C138" s="6"/>
      <c r="D138" s="6">
        <f>+($D$31-$D$84)*360*$D$86</f>
        <v>12960000</v>
      </c>
      <c r="E138" s="6">
        <f>+(($D$31*(1+$E$33)^1)-$D$84)*360*$D$34</f>
        <v>14904000</v>
      </c>
      <c r="F138" s="6">
        <f>+(($D$31*(1+$E$33)^2)-$D$84)*360*$D$34</f>
        <v>16945200</v>
      </c>
      <c r="G138" s="6">
        <f>+(($D$31*(1+$E$33)^3)-$D$84)*360*$D$34</f>
        <v>19088460.000000004</v>
      </c>
      <c r="H138" s="23">
        <f>+(($D$31*(1+$E$33)^4)-$D$84)*360*$D$34</f>
        <v>21338883</v>
      </c>
    </row>
    <row r="139" spans="1:15" x14ac:dyDescent="0.25">
      <c r="B139" s="22" t="s">
        <v>175</v>
      </c>
      <c r="C139" s="6"/>
      <c r="D139" s="6">
        <f>+($D$32-$D$85)*360*$D$87</f>
        <v>8640000</v>
      </c>
      <c r="E139" s="6">
        <f>+(($D$32*(1+$E$33)^1)-$D$85)*360*$D$35</f>
        <v>10800000</v>
      </c>
      <c r="F139" s="6">
        <f>+(($D$32*(1+$E$33)^2)-$D$85)*360*$D$35</f>
        <v>13068000</v>
      </c>
      <c r="G139" s="6">
        <f>+(($D$32*(1+$E$33)^3)-$D$85)*360*$D$35</f>
        <v>15449400.000000011</v>
      </c>
      <c r="H139" s="23">
        <f>+(($D$32*(1+$E$33)^4)-$D$85)*360*$D$35</f>
        <v>17949869.999999996</v>
      </c>
    </row>
    <row r="140" spans="1:15" x14ac:dyDescent="0.25">
      <c r="B140" s="22" t="s">
        <v>10</v>
      </c>
      <c r="C140" s="6"/>
      <c r="D140" s="6"/>
      <c r="E140" s="6"/>
      <c r="F140" s="6"/>
      <c r="G140" s="6"/>
      <c r="H140" s="23">
        <f>+E49-(C45+C46+C47+C48+D145+E145+F145+G145+H145)</f>
        <v>-3000000</v>
      </c>
    </row>
    <row r="141" spans="1:15" x14ac:dyDescent="0.25">
      <c r="B141" s="22" t="s">
        <v>11</v>
      </c>
      <c r="C141" s="6"/>
      <c r="D141" s="6">
        <f>SUM(D142:D143)</f>
        <v>-13608000</v>
      </c>
      <c r="E141" s="6">
        <f t="shared" ref="E141:H141" si="32">SUM(E142:E143)</f>
        <v>-17066700</v>
      </c>
      <c r="F141" s="6">
        <f t="shared" si="32"/>
        <v>-20983110.75</v>
      </c>
      <c r="G141" s="6">
        <f t="shared" si="32"/>
        <v>-25409307.301875014</v>
      </c>
      <c r="H141" s="23">
        <f t="shared" si="32"/>
        <v>-30402960.385317184</v>
      </c>
    </row>
    <row r="142" spans="1:15" x14ac:dyDescent="0.25">
      <c r="B142" s="22" t="s">
        <v>174</v>
      </c>
      <c r="C142" s="6"/>
      <c r="D142" s="6">
        <f>-($D$31-$D$84)*360*$C$89*(1+$D$91)</f>
        <v>-7560000</v>
      </c>
      <c r="E142" s="6">
        <f>-(($D$31*(1+$E$33)^1)-$D$84)*360*$D$37*(1+$E$33)^1</f>
        <v>-9128700</v>
      </c>
      <c r="F142" s="6">
        <f>-(($D$31*(1+$E$33)^2)-$D$84)*360*$D$37*(1+$E$33)^2</f>
        <v>-10897881.75</v>
      </c>
      <c r="G142" s="6">
        <f>-(($D$31*(1+$E$33)^3)-$D$84)*360*$D$37*(1+$E$33)^3</f>
        <v>-12890079.129375003</v>
      </c>
      <c r="H142" s="23">
        <f>-(($D$31*(1+$E$33)^4)-$D$84)*360*$D$37*(1+$E$33)^4</f>
        <v>-15130234.965135938</v>
      </c>
    </row>
    <row r="143" spans="1:15" x14ac:dyDescent="0.25">
      <c r="B143" s="22" t="s">
        <v>175</v>
      </c>
      <c r="C143" s="6"/>
      <c r="D143" s="6">
        <f>-($D$32-$D$85)*360*$C$90*(1+$D$91)</f>
        <v>-6048000</v>
      </c>
      <c r="E143" s="6">
        <f>-(($D$32*(1+$E$33)^1)-$D$85)*360*$D$38*(1+$E$33)^1</f>
        <v>-7938000</v>
      </c>
      <c r="F143" s="6">
        <f>-(($D$32*(1+$E$33)^2)-$D$85)*360*$D$38*(1+$E$33)^2</f>
        <v>-10085229</v>
      </c>
      <c r="G143" s="6">
        <f>-(($D$32*(1+$E$33)^3)-$D$85)*360*$D$38*(1+$E$33)^3</f>
        <v>-12519228.172500011</v>
      </c>
      <c r="H143" s="23">
        <f>-(($D$32*(1+$E$33)^4)-$D$85)*360*$D$38*(1+$E$33)^4</f>
        <v>-15272725.420181248</v>
      </c>
    </row>
    <row r="144" spans="1:15" x14ac:dyDescent="0.25">
      <c r="B144" s="22" t="s">
        <v>25</v>
      </c>
      <c r="C144" s="6"/>
      <c r="D144" s="6">
        <v>0</v>
      </c>
      <c r="E144" s="6">
        <v>0</v>
      </c>
      <c r="F144" s="6">
        <v>0</v>
      </c>
      <c r="G144" s="6">
        <v>0</v>
      </c>
      <c r="H144" s="23">
        <v>0</v>
      </c>
    </row>
    <row r="145" spans="1:10" x14ac:dyDescent="0.25">
      <c r="B145" s="22" t="s">
        <v>12</v>
      </c>
      <c r="C145" s="6"/>
      <c r="D145" s="6">
        <f>-$C$46*$D$41-$C$47*$D$42-$C$48*$D$42</f>
        <v>-4400000</v>
      </c>
      <c r="E145" s="6">
        <f>-$C$46*$D$41-$C$47*$D$42-$C$48*$D$42</f>
        <v>-4400000</v>
      </c>
      <c r="F145" s="6">
        <f>-$C$46*$D$41-$C$47*$D$42-$C$48*$D$42</f>
        <v>-4400000</v>
      </c>
      <c r="G145" s="6">
        <f>-$C$46*$D$41-$C$47*$D$42-$C$48*$D$42</f>
        <v>-4400000</v>
      </c>
      <c r="H145" s="23">
        <f>-$C$46*$D$41-$C$47*$D$42-$C$48*$D$42</f>
        <v>-4400000</v>
      </c>
    </row>
    <row r="146" spans="1:10" x14ac:dyDescent="0.25">
      <c r="B146" s="22" t="s">
        <v>27</v>
      </c>
      <c r="C146" s="6"/>
      <c r="D146" s="6">
        <f>-((D137+D141+D144+D145+D140))*$D$43</f>
        <v>-1077600</v>
      </c>
      <c r="E146" s="6">
        <f>-((E137+E141+E144+E145+E140))*$D$43</f>
        <v>-1271190</v>
      </c>
      <c r="F146" s="6">
        <f>-((F137+F141+F144+F145+F140))*$D$43</f>
        <v>-1389026.7749999999</v>
      </c>
      <c r="G146" s="6">
        <f>-((G137+G141+G144+G145+G140))*$D$43</f>
        <v>-1418565.8094375003</v>
      </c>
      <c r="H146" s="23">
        <f>-((H137+H141+H144+H145+H140))*$D$43</f>
        <v>-445737.7844048448</v>
      </c>
    </row>
    <row r="147" spans="1:10" x14ac:dyDescent="0.25">
      <c r="B147" s="35" t="s">
        <v>14</v>
      </c>
      <c r="C147" s="59"/>
      <c r="D147" s="59">
        <f>+D137+D140+D141+D144+D145+D146</f>
        <v>2514400</v>
      </c>
      <c r="E147" s="59">
        <f t="shared" ref="E147:H147" si="33">+E137+E140+E141+E144+E145+E146</f>
        <v>2966110</v>
      </c>
      <c r="F147" s="59">
        <f t="shared" si="33"/>
        <v>3241062.4750000001</v>
      </c>
      <c r="G147" s="59">
        <f t="shared" si="33"/>
        <v>3309986.8886875007</v>
      </c>
      <c r="H147" s="36">
        <f t="shared" si="33"/>
        <v>1040054.8302779712</v>
      </c>
    </row>
    <row r="148" spans="1:10" x14ac:dyDescent="0.25">
      <c r="B148" s="101"/>
      <c r="C148" s="101"/>
      <c r="D148" s="101"/>
      <c r="E148" s="101"/>
      <c r="F148" s="101"/>
      <c r="G148" s="101"/>
      <c r="H148" s="101"/>
      <c r="J148" s="4"/>
    </row>
    <row r="149" spans="1:10" x14ac:dyDescent="0.25">
      <c r="B149" s="4"/>
      <c r="C149" s="4"/>
      <c r="D149" s="4"/>
      <c r="E149" s="4"/>
      <c r="F149" s="4"/>
      <c r="G149" s="4"/>
      <c r="H149" s="4"/>
    </row>
    <row r="150" spans="1:10" x14ac:dyDescent="0.25">
      <c r="B150" s="31" t="s">
        <v>211</v>
      </c>
      <c r="C150" s="58" t="s">
        <v>0</v>
      </c>
      <c r="D150" s="58" t="s">
        <v>6</v>
      </c>
      <c r="E150" s="58" t="s">
        <v>7</v>
      </c>
      <c r="F150" s="58" t="s">
        <v>8</v>
      </c>
      <c r="G150" s="58" t="s">
        <v>1</v>
      </c>
      <c r="H150" s="34" t="s">
        <v>22</v>
      </c>
    </row>
    <row r="151" spans="1:10" x14ac:dyDescent="0.25">
      <c r="B151" s="76" t="s">
        <v>16</v>
      </c>
      <c r="C151" s="77"/>
      <c r="D151" s="77">
        <f>+D147</f>
        <v>2514400</v>
      </c>
      <c r="E151" s="77">
        <f t="shared" ref="E151:H151" si="34">+E147</f>
        <v>2966110</v>
      </c>
      <c r="F151" s="77">
        <f t="shared" si="34"/>
        <v>3241062.4750000001</v>
      </c>
      <c r="G151" s="77">
        <f t="shared" si="34"/>
        <v>3309986.8886875007</v>
      </c>
      <c r="H151" s="78">
        <f t="shared" si="34"/>
        <v>1040054.8302779712</v>
      </c>
    </row>
    <row r="152" spans="1:10" x14ac:dyDescent="0.25">
      <c r="B152" s="22" t="s">
        <v>17</v>
      </c>
      <c r="C152" s="6"/>
      <c r="D152" s="6">
        <f>-D145</f>
        <v>4400000</v>
      </c>
      <c r="E152" s="6">
        <f t="shared" ref="E152:H152" si="35">-E145</f>
        <v>4400000</v>
      </c>
      <c r="F152" s="6">
        <f t="shared" si="35"/>
        <v>4400000</v>
      </c>
      <c r="G152" s="6">
        <f t="shared" si="35"/>
        <v>4400000</v>
      </c>
      <c r="H152" s="23">
        <f t="shared" si="35"/>
        <v>4400000</v>
      </c>
      <c r="J152" s="4"/>
    </row>
    <row r="153" spans="1:10" x14ac:dyDescent="0.25">
      <c r="B153" s="22" t="s">
        <v>33</v>
      </c>
      <c r="C153" s="6"/>
      <c r="D153" s="6"/>
      <c r="E153" s="6"/>
      <c r="F153" s="6"/>
      <c r="G153" s="6"/>
      <c r="H153" s="23">
        <f>-SUM(C157:G157)</f>
        <v>3928875.3</v>
      </c>
    </row>
    <row r="154" spans="1:10" x14ac:dyDescent="0.25">
      <c r="B154" s="22" t="s">
        <v>18</v>
      </c>
      <c r="C154" s="6"/>
      <c r="D154" s="6"/>
      <c r="E154" s="6"/>
      <c r="F154" s="6"/>
      <c r="G154" s="6"/>
      <c r="H154" s="23">
        <f>SUM(C45:C48)+D145+E145+F145+G145+H145</f>
        <v>8000000</v>
      </c>
    </row>
    <row r="155" spans="1:10" x14ac:dyDescent="0.25">
      <c r="B155" s="22" t="s">
        <v>2</v>
      </c>
      <c r="C155" s="6">
        <f>SUM(C156:C157)</f>
        <v>-32160000</v>
      </c>
      <c r="D155" s="6">
        <f t="shared" ref="D155:H155" si="36">SUM(D156:D157)</f>
        <v>-410400</v>
      </c>
      <c r="E155" s="6">
        <f t="shared" si="36"/>
        <v>-430920</v>
      </c>
      <c r="F155" s="6">
        <f t="shared" si="36"/>
        <v>-452466.00000000151</v>
      </c>
      <c r="G155" s="6">
        <f t="shared" si="36"/>
        <v>-475089.29999999853</v>
      </c>
      <c r="H155" s="23">
        <f t="shared" si="36"/>
        <v>0</v>
      </c>
    </row>
    <row r="156" spans="1:10" x14ac:dyDescent="0.25">
      <c r="B156" s="22" t="s">
        <v>35</v>
      </c>
      <c r="C156" s="6">
        <f>-SUM(C45:C48)</f>
        <v>-30000000</v>
      </c>
      <c r="D156" s="6"/>
      <c r="E156" s="6"/>
      <c r="F156" s="6"/>
      <c r="G156" s="6"/>
      <c r="H156" s="23"/>
    </row>
    <row r="157" spans="1:10" x14ac:dyDescent="0.25">
      <c r="B157" s="22" t="s">
        <v>20</v>
      </c>
      <c r="C157" s="6">
        <f>-(D137-C137)*$C$50</f>
        <v>-2160000</v>
      </c>
      <c r="D157" s="6">
        <f>-(E137-D137)*$C$50</f>
        <v>-410400</v>
      </c>
      <c r="E157" s="6">
        <f>-(F137-E137)*$C$50</f>
        <v>-430920</v>
      </c>
      <c r="F157" s="6">
        <f>-(G137-F137)*$C$50</f>
        <v>-452466.00000000151</v>
      </c>
      <c r="G157" s="6">
        <f>-(H137-G137)*$C$50</f>
        <v>-475089.29999999853</v>
      </c>
      <c r="H157" s="23"/>
    </row>
    <row r="158" spans="1:10" x14ac:dyDescent="0.25">
      <c r="B158" s="35" t="s">
        <v>21</v>
      </c>
      <c r="C158" s="59">
        <f>SUM(C151:C155)</f>
        <v>-32160000</v>
      </c>
      <c r="D158" s="59">
        <f t="shared" ref="D158:H158" si="37">SUM(D151:D155)</f>
        <v>6504000</v>
      </c>
      <c r="E158" s="59">
        <f t="shared" si="37"/>
        <v>6935190</v>
      </c>
      <c r="F158" s="59">
        <f t="shared" si="37"/>
        <v>7188596.4749999978</v>
      </c>
      <c r="G158" s="59">
        <f t="shared" si="37"/>
        <v>7234897.5886875018</v>
      </c>
      <c r="H158" s="36">
        <f t="shared" si="37"/>
        <v>17368930.130277969</v>
      </c>
    </row>
    <row r="160" spans="1:10" x14ac:dyDescent="0.25">
      <c r="A160" s="143" t="s">
        <v>207</v>
      </c>
      <c r="B160" s="68" t="s">
        <v>195</v>
      </c>
      <c r="C160" s="56">
        <f>+C123+NPV(C24,D123:H123)</f>
        <v>5286397.4188877344</v>
      </c>
    </row>
    <row r="162" spans="1:8" x14ac:dyDescent="0.25">
      <c r="B162" s="68" t="s">
        <v>196</v>
      </c>
      <c r="C162" s="56">
        <f>+C131+NPV(C15,D131:H131)</f>
        <v>3952153.0305190757</v>
      </c>
    </row>
    <row r="164" spans="1:8" x14ac:dyDescent="0.25">
      <c r="B164" s="105" t="s">
        <v>201</v>
      </c>
      <c r="C164" s="177">
        <f>SUM(C165:C166)</f>
        <v>5770665.8206387907</v>
      </c>
    </row>
    <row r="165" spans="1:8" x14ac:dyDescent="0.25">
      <c r="B165" s="178" t="s">
        <v>197</v>
      </c>
      <c r="C165" s="23">
        <f>+C123+NPV(C14,D123:H123)</f>
        <v>5098323.3314004093</v>
      </c>
    </row>
    <row r="166" spans="1:8" x14ac:dyDescent="0.25">
      <c r="B166" s="38" t="s">
        <v>198</v>
      </c>
      <c r="C166" s="27">
        <f>+C130+NPV(C51,D130:G130)</f>
        <v>672342.48923838139</v>
      </c>
    </row>
    <row r="168" spans="1:8" x14ac:dyDescent="0.25">
      <c r="B168" s="39" t="s">
        <v>234</v>
      </c>
      <c r="C168" s="179"/>
    </row>
    <row r="171" spans="1:8" x14ac:dyDescent="0.25">
      <c r="A171" s="143" t="s">
        <v>235</v>
      </c>
      <c r="B171" s="13" t="s">
        <v>250</v>
      </c>
      <c r="C171" s="158">
        <v>0</v>
      </c>
      <c r="D171" s="158">
        <f>+C171+1</f>
        <v>1</v>
      </c>
      <c r="E171" s="158">
        <f>+D171+1</f>
        <v>2</v>
      </c>
      <c r="F171" s="158">
        <f>+E171+1</f>
        <v>3</v>
      </c>
      <c r="G171" s="158">
        <f t="shared" ref="G171:H171" si="38">+F171+1</f>
        <v>4</v>
      </c>
      <c r="H171" s="158">
        <f t="shared" si="38"/>
        <v>5</v>
      </c>
    </row>
    <row r="172" spans="1:8" x14ac:dyDescent="0.25">
      <c r="B172" s="31"/>
      <c r="C172" s="58" t="s">
        <v>0</v>
      </c>
      <c r="D172" s="58" t="s">
        <v>6</v>
      </c>
      <c r="E172" s="58" t="s">
        <v>7</v>
      </c>
      <c r="F172" s="58" t="s">
        <v>8</v>
      </c>
      <c r="G172" s="58" t="s">
        <v>1</v>
      </c>
      <c r="H172" s="34" t="s">
        <v>22</v>
      </c>
    </row>
    <row r="173" spans="1:8" x14ac:dyDescent="0.25">
      <c r="B173" s="22" t="s">
        <v>40</v>
      </c>
      <c r="C173" s="6">
        <f>1/(1+$C$24)^0</f>
        <v>1</v>
      </c>
      <c r="D173" s="6">
        <f>1/(1+$C$24)^1</f>
        <v>0.94636060279612089</v>
      </c>
      <c r="E173" s="6">
        <f>1/(1+$C$24)^2</f>
        <v>0.89559839052463741</v>
      </c>
      <c r="F173" s="6">
        <f>1/(1+$C$24)^3</f>
        <v>0.84755903272013156</v>
      </c>
      <c r="G173" s="6">
        <f>1/(1+$C$24)^4</f>
        <v>0.80209647711032084</v>
      </c>
      <c r="H173" s="23">
        <f>1/(1+$C$24)^5</f>
        <v>0.75907250557876826</v>
      </c>
    </row>
    <row r="174" spans="1:8" x14ac:dyDescent="0.25">
      <c r="B174" s="22" t="s">
        <v>41</v>
      </c>
      <c r="C174" s="6">
        <f t="shared" ref="C174:H174" si="39">+C123*C173</f>
        <v>-32160000</v>
      </c>
      <c r="D174" s="6">
        <f t="shared" si="39"/>
        <v>6155129.3605859699</v>
      </c>
      <c r="E174" s="6">
        <f t="shared" si="39"/>
        <v>6211145.0019825604</v>
      </c>
      <c r="F174" s="6">
        <f t="shared" si="39"/>
        <v>6092759.8749663485</v>
      </c>
      <c r="G174" s="6">
        <f t="shared" si="39"/>
        <v>5803085.8681402002</v>
      </c>
      <c r="H174" s="23">
        <f t="shared" si="39"/>
        <v>13184277.313212657</v>
      </c>
    </row>
    <row r="175" spans="1:8" x14ac:dyDescent="0.25">
      <c r="B175" s="22" t="s">
        <v>42</v>
      </c>
      <c r="C175" s="6">
        <f>+C174</f>
        <v>-32160000</v>
      </c>
      <c r="D175" s="6">
        <f>+C175+D174</f>
        <v>-26004870.639414031</v>
      </c>
      <c r="E175" s="6">
        <f>+D175+E174</f>
        <v>-19793725.637431473</v>
      </c>
      <c r="F175" s="6">
        <f t="shared" ref="F175:H175" si="40">+E175+F174</f>
        <v>-13700965.762465123</v>
      </c>
      <c r="G175" s="6">
        <f>+F175+G174</f>
        <v>-7897879.8943249229</v>
      </c>
      <c r="H175" s="122">
        <f t="shared" si="40"/>
        <v>5286397.4188877344</v>
      </c>
    </row>
    <row r="176" spans="1:8" x14ac:dyDescent="0.25">
      <c r="B176" s="123" t="s">
        <v>199</v>
      </c>
      <c r="C176" s="26"/>
      <c r="D176" s="26"/>
      <c r="E176" s="26"/>
      <c r="F176" s="26"/>
      <c r="G176" s="26"/>
      <c r="H176" s="27"/>
    </row>
  </sheetData>
  <sheetProtection algorithmName="SHA-512" hashValue="MyTfLhcasq4IzCIJhtyE3q2Ie2DdH2JC9FjV1Etum+lLZfsFFo1HK9eCRAGzGVFC5fmf8VROuBjEIHZkx4aqXA==" saltValue="QWL72SYCrGdQr9IrJb1SJg==" spinCount="100000" sheet="1" objects="1" scenarios="1"/>
  <mergeCells count="6">
    <mergeCell ref="B1:H1"/>
    <mergeCell ref="B81:D81"/>
    <mergeCell ref="D41:E41"/>
    <mergeCell ref="D42:E42"/>
    <mergeCell ref="D43:E43"/>
    <mergeCell ref="B28:F28"/>
  </mergeCells>
  <hyperlinks>
    <hyperlink ref="B160" r:id="rId1" display="VPN@8.71%" xr:uid="{00000000-0004-0000-0500-000000000000}"/>
    <hyperlink ref="B162" r:id="rId2" display="VPN@11.28%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51" orientation="portrait" horizontalDpi="360" verticalDpi="360" r:id="rId3"/>
  <ignoredErrors>
    <ignoredError sqref="C22" evalError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O70"/>
  <sheetViews>
    <sheetView zoomScaleNormal="100" workbookViewId="0">
      <selection activeCell="J20" sqref="J20"/>
    </sheetView>
  </sheetViews>
  <sheetFormatPr baseColWidth="10" defaultColWidth="11.44140625" defaultRowHeight="13.8" x14ac:dyDescent="0.25"/>
  <cols>
    <col min="1" max="1" width="20.33203125" style="4" customWidth="1"/>
    <col min="2" max="2" width="4.88671875" style="4" customWidth="1"/>
    <col min="3" max="3" width="23" style="4" customWidth="1"/>
    <col min="4" max="5" width="11.44140625" style="4"/>
    <col min="6" max="7" width="11.6640625" style="4" bestFit="1" customWidth="1"/>
    <col min="8" max="16384" width="11.44140625" style="4"/>
  </cols>
  <sheetData>
    <row r="1" spans="3:15" ht="19.95" customHeight="1" x14ac:dyDescent="0.25">
      <c r="C1" s="204" t="s">
        <v>252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3" spans="3:15" x14ac:dyDescent="0.25">
      <c r="C3" s="97"/>
      <c r="D3" s="119"/>
      <c r="E3" s="119"/>
      <c r="F3" s="119"/>
      <c r="G3" s="119"/>
      <c r="H3" s="120"/>
    </row>
    <row r="4" spans="3:15" x14ac:dyDescent="0.25">
      <c r="C4" s="228" t="s">
        <v>142</v>
      </c>
      <c r="D4" s="229"/>
      <c r="E4" s="229"/>
      <c r="F4" s="229"/>
      <c r="G4" s="229"/>
      <c r="H4" s="230"/>
    </row>
    <row r="5" spans="3:15" x14ac:dyDescent="0.25">
      <c r="C5" s="165"/>
      <c r="D5" s="135"/>
      <c r="E5" s="135"/>
      <c r="F5" s="135"/>
      <c r="G5" s="134"/>
      <c r="H5" s="166"/>
    </row>
    <row r="6" spans="3:15" x14ac:dyDescent="0.25">
      <c r="C6" s="28"/>
      <c r="D6" s="29" t="s">
        <v>0</v>
      </c>
      <c r="E6" s="29" t="s">
        <v>6</v>
      </c>
      <c r="F6" s="29" t="s">
        <v>167</v>
      </c>
      <c r="G6" s="29" t="s">
        <v>170</v>
      </c>
      <c r="H6" s="30" t="s">
        <v>79</v>
      </c>
    </row>
    <row r="7" spans="3:15" x14ac:dyDescent="0.25">
      <c r="C7" s="22" t="s">
        <v>164</v>
      </c>
      <c r="D7" s="6"/>
      <c r="E7" s="6"/>
      <c r="F7" s="6">
        <v>900</v>
      </c>
      <c r="G7" s="6"/>
      <c r="H7" s="23"/>
    </row>
    <row r="8" spans="3:15" x14ac:dyDescent="0.25">
      <c r="C8" s="22" t="s">
        <v>165</v>
      </c>
      <c r="D8" s="6"/>
      <c r="E8" s="6"/>
      <c r="F8" s="6">
        <v>700</v>
      </c>
      <c r="G8" s="6"/>
      <c r="H8" s="23"/>
    </row>
    <row r="9" spans="3:15" x14ac:dyDescent="0.25">
      <c r="C9" s="22" t="s">
        <v>166</v>
      </c>
      <c r="D9" s="6"/>
      <c r="E9" s="6"/>
      <c r="F9" s="6">
        <v>100</v>
      </c>
      <c r="G9" s="6"/>
      <c r="H9" s="23"/>
    </row>
    <row r="10" spans="3:15" x14ac:dyDescent="0.25">
      <c r="C10" s="22" t="s">
        <v>168</v>
      </c>
      <c r="D10" s="6"/>
      <c r="E10" s="6"/>
      <c r="F10" s="6"/>
      <c r="G10" s="9">
        <v>0.03</v>
      </c>
      <c r="H10" s="23"/>
    </row>
    <row r="11" spans="3:15" x14ac:dyDescent="0.25">
      <c r="C11" s="22" t="s">
        <v>159</v>
      </c>
      <c r="D11" s="6"/>
      <c r="E11" s="6"/>
      <c r="F11" s="6"/>
      <c r="G11" s="6"/>
      <c r="H11" s="23"/>
    </row>
    <row r="12" spans="3:15" x14ac:dyDescent="0.25">
      <c r="C12" s="22" t="s">
        <v>160</v>
      </c>
      <c r="D12" s="6"/>
      <c r="E12" s="9">
        <v>0.05</v>
      </c>
      <c r="F12" s="6"/>
      <c r="G12" s="6"/>
      <c r="H12" s="23"/>
    </row>
    <row r="13" spans="3:15" x14ac:dyDescent="0.25">
      <c r="C13" s="22" t="s">
        <v>161</v>
      </c>
      <c r="D13" s="6"/>
      <c r="E13" s="9">
        <v>0.1</v>
      </c>
      <c r="F13" s="6"/>
      <c r="G13" s="6"/>
      <c r="H13" s="23"/>
    </row>
    <row r="14" spans="3:15" x14ac:dyDescent="0.25">
      <c r="C14" s="22" t="s">
        <v>162</v>
      </c>
      <c r="D14" s="6"/>
      <c r="E14" s="9">
        <v>0.2</v>
      </c>
      <c r="F14" s="6"/>
      <c r="G14" s="6"/>
      <c r="H14" s="23"/>
    </row>
    <row r="15" spans="3:15" x14ac:dyDescent="0.25">
      <c r="C15" s="22" t="s">
        <v>169</v>
      </c>
      <c r="D15" s="6"/>
      <c r="E15" s="6"/>
      <c r="F15" s="211">
        <v>0.3</v>
      </c>
      <c r="G15" s="211"/>
      <c r="H15" s="23"/>
    </row>
    <row r="16" spans="3:15" x14ac:dyDescent="0.25">
      <c r="C16" s="22" t="s">
        <v>2</v>
      </c>
      <c r="D16" s="6"/>
      <c r="E16" s="6"/>
      <c r="F16" s="72"/>
      <c r="G16" s="72"/>
      <c r="H16" s="23"/>
    </row>
    <row r="17" spans="3:8" x14ac:dyDescent="0.25">
      <c r="C17" s="22" t="s">
        <v>179</v>
      </c>
      <c r="D17" s="6">
        <v>4500</v>
      </c>
      <c r="E17" s="6"/>
      <c r="F17" s="6"/>
      <c r="G17" s="6"/>
      <c r="H17" s="23"/>
    </row>
    <row r="18" spans="3:8" x14ac:dyDescent="0.25">
      <c r="C18" s="22" t="s">
        <v>200</v>
      </c>
      <c r="D18" s="6">
        <v>3000</v>
      </c>
      <c r="E18" s="6"/>
      <c r="F18" s="6"/>
      <c r="G18" s="6"/>
      <c r="H18" s="23"/>
    </row>
    <row r="19" spans="3:8" x14ac:dyDescent="0.25">
      <c r="C19" s="22" t="s">
        <v>161</v>
      </c>
      <c r="D19" s="6"/>
      <c r="E19" s="6">
        <v>1500</v>
      </c>
      <c r="F19" s="6"/>
      <c r="G19" s="6"/>
      <c r="H19" s="23"/>
    </row>
    <row r="20" spans="3:8" x14ac:dyDescent="0.25">
      <c r="C20" s="22" t="s">
        <v>162</v>
      </c>
      <c r="D20" s="6"/>
      <c r="E20" s="6">
        <v>1000</v>
      </c>
      <c r="F20" s="6"/>
      <c r="G20" s="6"/>
      <c r="H20" s="23"/>
    </row>
    <row r="21" spans="3:8" x14ac:dyDescent="0.25">
      <c r="C21" s="22" t="s">
        <v>45</v>
      </c>
      <c r="D21" s="6"/>
      <c r="E21" s="6"/>
      <c r="F21" s="6"/>
      <c r="G21" s="6"/>
      <c r="H21" s="23">
        <v>4000</v>
      </c>
    </row>
    <row r="22" spans="3:8" x14ac:dyDescent="0.25">
      <c r="C22" s="22" t="s">
        <v>102</v>
      </c>
      <c r="D22" s="9">
        <v>0.5</v>
      </c>
      <c r="E22" s="6"/>
      <c r="F22" s="6"/>
      <c r="G22" s="6"/>
      <c r="H22" s="23"/>
    </row>
    <row r="23" spans="3:8" x14ac:dyDescent="0.25">
      <c r="C23" s="22" t="s">
        <v>81</v>
      </c>
      <c r="D23" s="9">
        <v>7.0000000000000007E-2</v>
      </c>
      <c r="E23" s="6"/>
      <c r="F23" s="6"/>
      <c r="G23" s="6"/>
      <c r="H23" s="23"/>
    </row>
    <row r="24" spans="3:8" ht="16.2" x14ac:dyDescent="0.35">
      <c r="C24" s="43" t="s">
        <v>237</v>
      </c>
      <c r="D24" s="6">
        <v>1.6</v>
      </c>
      <c r="E24" s="6"/>
      <c r="F24" s="6"/>
      <c r="G24" s="6"/>
      <c r="H24" s="23"/>
    </row>
    <row r="25" spans="3:8" x14ac:dyDescent="0.25">
      <c r="C25" s="22" t="s">
        <v>171</v>
      </c>
      <c r="D25" s="9">
        <v>0.4</v>
      </c>
      <c r="E25" s="6"/>
      <c r="F25" s="6"/>
      <c r="G25" s="6"/>
      <c r="H25" s="23"/>
    </row>
    <row r="26" spans="3:8" ht="16.2" x14ac:dyDescent="0.35">
      <c r="C26" s="44" t="s">
        <v>240</v>
      </c>
      <c r="D26" s="136">
        <v>0.05</v>
      </c>
      <c r="E26" s="6"/>
      <c r="F26" s="6"/>
      <c r="G26" s="6"/>
      <c r="H26" s="23"/>
    </row>
    <row r="27" spans="3:8" ht="16.2" x14ac:dyDescent="0.35">
      <c r="C27" s="44" t="s">
        <v>241</v>
      </c>
      <c r="D27" s="136">
        <v>3.5000000000000003E-2</v>
      </c>
      <c r="E27" s="6"/>
      <c r="F27" s="6"/>
      <c r="G27" s="6"/>
      <c r="H27" s="23"/>
    </row>
    <row r="28" spans="3:8" x14ac:dyDescent="0.25">
      <c r="C28" s="25"/>
      <c r="D28" s="26"/>
      <c r="E28" s="26"/>
      <c r="F28" s="26"/>
      <c r="G28" s="26"/>
      <c r="H28" s="27"/>
    </row>
    <row r="30" spans="3:8" x14ac:dyDescent="0.25">
      <c r="C30" s="182" t="s">
        <v>86</v>
      </c>
      <c r="D30" s="180">
        <f>+D25</f>
        <v>0.4</v>
      </c>
    </row>
    <row r="31" spans="3:8" x14ac:dyDescent="0.25">
      <c r="C31" s="183" t="s">
        <v>92</v>
      </c>
      <c r="D31" s="24">
        <f>1-D30</f>
        <v>0.6</v>
      </c>
    </row>
    <row r="32" spans="3:8" x14ac:dyDescent="0.25">
      <c r="C32" s="184" t="s">
        <v>98</v>
      </c>
      <c r="D32" s="181">
        <f>+F15</f>
        <v>0.3</v>
      </c>
    </row>
    <row r="35" spans="3:4" x14ac:dyDescent="0.25">
      <c r="C35" s="41" t="s">
        <v>94</v>
      </c>
      <c r="D35" s="42"/>
    </row>
    <row r="36" spans="3:4" ht="16.2" x14ac:dyDescent="0.35">
      <c r="C36" s="43" t="s">
        <v>237</v>
      </c>
      <c r="D36" s="23">
        <f>+D24</f>
        <v>1.6</v>
      </c>
    </row>
    <row r="37" spans="3:4" ht="16.2" x14ac:dyDescent="0.35">
      <c r="C37" s="43" t="s">
        <v>238</v>
      </c>
      <c r="D37" s="23">
        <f>+(1/(1+((D22/(1-D22))*(1-F15)))*D36)</f>
        <v>0.94117647058823539</v>
      </c>
    </row>
    <row r="38" spans="3:4" ht="16.2" x14ac:dyDescent="0.35">
      <c r="C38" s="43" t="s">
        <v>239</v>
      </c>
      <c r="D38" s="23">
        <f>+((1+(D25/(1-D25))*(1-F15)))*D37</f>
        <v>1.3803921568627453</v>
      </c>
    </row>
    <row r="39" spans="3:4" ht="16.2" x14ac:dyDescent="0.35">
      <c r="C39" s="44" t="s">
        <v>240</v>
      </c>
      <c r="D39" s="45">
        <f>+D26</f>
        <v>0.05</v>
      </c>
    </row>
    <row r="40" spans="3:4" ht="16.2" x14ac:dyDescent="0.35">
      <c r="C40" s="185" t="s">
        <v>241</v>
      </c>
      <c r="D40" s="37">
        <f>+D27</f>
        <v>3.5000000000000003E-2</v>
      </c>
    </row>
    <row r="41" spans="3:4" x14ac:dyDescent="0.25">
      <c r="D41" s="14"/>
    </row>
    <row r="42" spans="3:4" x14ac:dyDescent="0.25">
      <c r="C42" s="41" t="s">
        <v>96</v>
      </c>
      <c r="D42" s="42"/>
    </row>
    <row r="43" spans="3:4" x14ac:dyDescent="0.25">
      <c r="C43" s="46" t="s">
        <v>99</v>
      </c>
      <c r="D43" s="45">
        <f>+D39+D37*D40</f>
        <v>8.294117647058824E-2</v>
      </c>
    </row>
    <row r="44" spans="3:4" x14ac:dyDescent="0.25">
      <c r="C44" s="54" t="s">
        <v>100</v>
      </c>
      <c r="D44" s="130">
        <f>+D39+D38*D40</f>
        <v>9.8313725490196097E-2</v>
      </c>
    </row>
    <row r="46" spans="3:4" x14ac:dyDescent="0.25">
      <c r="C46" s="41" t="s">
        <v>97</v>
      </c>
      <c r="D46" s="42"/>
    </row>
    <row r="47" spans="3:4" x14ac:dyDescent="0.25">
      <c r="C47" s="46" t="s">
        <v>86</v>
      </c>
      <c r="D47" s="45">
        <f>+D25</f>
        <v>0.4</v>
      </c>
    </row>
    <row r="48" spans="3:4" x14ac:dyDescent="0.25">
      <c r="C48" s="46" t="s">
        <v>81</v>
      </c>
      <c r="D48" s="45">
        <f>+D23</f>
        <v>7.0000000000000007E-2</v>
      </c>
    </row>
    <row r="49" spans="3:15" x14ac:dyDescent="0.25">
      <c r="C49" s="46" t="s">
        <v>98</v>
      </c>
      <c r="D49" s="45">
        <f>+F15</f>
        <v>0.3</v>
      </c>
    </row>
    <row r="50" spans="3:15" x14ac:dyDescent="0.25">
      <c r="C50" s="46" t="s">
        <v>92</v>
      </c>
      <c r="D50" s="45">
        <f>+(1-D47)</f>
        <v>0.6</v>
      </c>
    </row>
    <row r="51" spans="3:15" x14ac:dyDescent="0.25">
      <c r="C51" s="46" t="s">
        <v>100</v>
      </c>
      <c r="D51" s="45">
        <f>+D44</f>
        <v>9.8313725490196097E-2</v>
      </c>
    </row>
    <row r="52" spans="3:15" ht="4.95" customHeight="1" x14ac:dyDescent="0.25">
      <c r="C52" s="22"/>
      <c r="D52" s="23"/>
    </row>
    <row r="53" spans="3:15" x14ac:dyDescent="0.25">
      <c r="C53" s="54" t="s">
        <v>101</v>
      </c>
      <c r="D53" s="130">
        <f>+D47*D48*(1-D49)+D50*D51</f>
        <v>7.8588235294117653E-2</v>
      </c>
    </row>
    <row r="56" spans="3:15" x14ac:dyDescent="0.25">
      <c r="C56" s="31" t="s">
        <v>5</v>
      </c>
      <c r="D56" s="58" t="s">
        <v>0</v>
      </c>
      <c r="E56" s="58" t="s">
        <v>6</v>
      </c>
      <c r="F56" s="58" t="s">
        <v>7</v>
      </c>
      <c r="G56" s="58" t="s">
        <v>8</v>
      </c>
      <c r="H56" s="58" t="s">
        <v>1</v>
      </c>
      <c r="I56" s="58" t="s">
        <v>22</v>
      </c>
      <c r="J56" s="58" t="s">
        <v>62</v>
      </c>
      <c r="K56" s="58" t="s">
        <v>75</v>
      </c>
      <c r="L56" s="58" t="s">
        <v>76</v>
      </c>
      <c r="M56" s="58" t="s">
        <v>77</v>
      </c>
      <c r="N56" s="58" t="s">
        <v>78</v>
      </c>
      <c r="O56" s="34" t="s">
        <v>79</v>
      </c>
    </row>
    <row r="57" spans="3:15" x14ac:dyDescent="0.25">
      <c r="C57" s="22" t="s">
        <v>215</v>
      </c>
      <c r="D57" s="6"/>
      <c r="E57" s="6"/>
      <c r="F57" s="6">
        <f>+$F$7+$F$8+$F$9</f>
        <v>1700</v>
      </c>
      <c r="G57" s="6">
        <f>+F57*(1+$G$10)</f>
        <v>1751</v>
      </c>
      <c r="H57" s="6">
        <f t="shared" ref="H57:N57" si="0">+G57*(1+$G$10)</f>
        <v>1803.53</v>
      </c>
      <c r="I57" s="6">
        <f t="shared" si="0"/>
        <v>1857.6359</v>
      </c>
      <c r="J57" s="6">
        <f t="shared" si="0"/>
        <v>1913.364977</v>
      </c>
      <c r="K57" s="6">
        <f t="shared" si="0"/>
        <v>1970.7659263099999</v>
      </c>
      <c r="L57" s="6">
        <f t="shared" si="0"/>
        <v>2029.8889040992999</v>
      </c>
      <c r="M57" s="6">
        <f t="shared" si="0"/>
        <v>2090.785571222279</v>
      </c>
      <c r="N57" s="6">
        <f t="shared" si="0"/>
        <v>2153.5091383589474</v>
      </c>
      <c r="O57" s="23"/>
    </row>
    <row r="58" spans="3:15" x14ac:dyDescent="0.25">
      <c r="C58" s="22" t="s">
        <v>10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3">
        <f>+H21-(D17+D18+E19+E20+E59+F59+G59+H59+I59+J59+K59+L59+M59+N59+O59)</f>
        <v>-2150</v>
      </c>
    </row>
    <row r="59" spans="3:15" x14ac:dyDescent="0.25">
      <c r="C59" s="22" t="s">
        <v>12</v>
      </c>
      <c r="D59" s="6"/>
      <c r="E59" s="6">
        <f>-D18*$E$12</f>
        <v>-150</v>
      </c>
      <c r="F59" s="6">
        <f>-(+$D$18*$E$12+$E$19*$E$13+$E$14*$E$20)</f>
        <v>-500</v>
      </c>
      <c r="G59" s="6">
        <f>-(+$D$18*$E$12+$E$19*$E$13+$E$14*$E$20)</f>
        <v>-500</v>
      </c>
      <c r="H59" s="6">
        <f>-(+$D$18*$E$12+$E$19*$E$13+$E$14*$E$20)</f>
        <v>-500</v>
      </c>
      <c r="I59" s="6">
        <f>-(+$D$18*$E$12+$E$19*$E$13+$E$14*$E$20)</f>
        <v>-500</v>
      </c>
      <c r="J59" s="6">
        <f>-(+$D$18*$E$12+$E$19*$E$13+$E$14*$E$20)</f>
        <v>-500</v>
      </c>
      <c r="K59" s="6">
        <f>-(+$D$18*$E$12+$E$19*$E$13)</f>
        <v>-300</v>
      </c>
      <c r="L59" s="6">
        <f>-(+$D$18*$E$12+$E$19*$E$13)</f>
        <v>-300</v>
      </c>
      <c r="M59" s="6">
        <f>-(+$D$18*$E$12+$E$19*$E$13)</f>
        <v>-300</v>
      </c>
      <c r="N59" s="6">
        <f>-(+$D$18*$E$12+$E$19*$E$13)</f>
        <v>-300</v>
      </c>
      <c r="O59" s="23"/>
    </row>
    <row r="60" spans="3:15" x14ac:dyDescent="0.25">
      <c r="C60" s="22" t="s">
        <v>49</v>
      </c>
      <c r="D60" s="6"/>
      <c r="E60" s="6">
        <f>-SUM(E57:E59)*$F$15</f>
        <v>45</v>
      </c>
      <c r="F60" s="6">
        <f t="shared" ref="F60:O60" si="1">-SUM(F57:F59)*$F$15</f>
        <v>-360</v>
      </c>
      <c r="G60" s="6">
        <f t="shared" si="1"/>
        <v>-375.3</v>
      </c>
      <c r="H60" s="6">
        <f t="shared" si="1"/>
        <v>-391.05899999999997</v>
      </c>
      <c r="I60" s="6">
        <f t="shared" si="1"/>
        <v>-407.29077000000001</v>
      </c>
      <c r="J60" s="6">
        <f t="shared" si="1"/>
        <v>-424.00949309999999</v>
      </c>
      <c r="K60" s="6">
        <f t="shared" si="1"/>
        <v>-501.22977789299995</v>
      </c>
      <c r="L60" s="6">
        <f t="shared" si="1"/>
        <v>-518.96667122978999</v>
      </c>
      <c r="M60" s="6">
        <f t="shared" si="1"/>
        <v>-537.23567136668373</v>
      </c>
      <c r="N60" s="6">
        <f t="shared" si="1"/>
        <v>-556.05274150768423</v>
      </c>
      <c r="O60" s="23">
        <f t="shared" si="1"/>
        <v>645</v>
      </c>
    </row>
    <row r="61" spans="3:15" x14ac:dyDescent="0.25">
      <c r="C61" s="35" t="s">
        <v>14</v>
      </c>
      <c r="D61" s="59"/>
      <c r="E61" s="59">
        <f>SUM(E57:E60)</f>
        <v>-105</v>
      </c>
      <c r="F61" s="59">
        <f t="shared" ref="F61:O61" si="2">SUM(F57:F60)</f>
        <v>840</v>
      </c>
      <c r="G61" s="59">
        <f t="shared" si="2"/>
        <v>875.7</v>
      </c>
      <c r="H61" s="59">
        <f t="shared" si="2"/>
        <v>912.471</v>
      </c>
      <c r="I61" s="59">
        <f t="shared" si="2"/>
        <v>950.34512999999993</v>
      </c>
      <c r="J61" s="59">
        <f t="shared" si="2"/>
        <v>989.35548389999997</v>
      </c>
      <c r="K61" s="59">
        <f t="shared" si="2"/>
        <v>1169.536148417</v>
      </c>
      <c r="L61" s="59">
        <f t="shared" si="2"/>
        <v>1210.92223286951</v>
      </c>
      <c r="M61" s="59">
        <f t="shared" si="2"/>
        <v>1253.5498998555954</v>
      </c>
      <c r="N61" s="59">
        <f t="shared" si="2"/>
        <v>1297.4563968512632</v>
      </c>
      <c r="O61" s="36">
        <f t="shared" si="2"/>
        <v>-1505</v>
      </c>
    </row>
    <row r="63" spans="3:15" x14ac:dyDescent="0.25">
      <c r="C63" s="31" t="s">
        <v>15</v>
      </c>
      <c r="D63" s="58" t="s">
        <v>0</v>
      </c>
      <c r="E63" s="58" t="s">
        <v>6</v>
      </c>
      <c r="F63" s="58" t="s">
        <v>7</v>
      </c>
      <c r="G63" s="58" t="s">
        <v>8</v>
      </c>
      <c r="H63" s="58" t="s">
        <v>1</v>
      </c>
      <c r="I63" s="58" t="s">
        <v>22</v>
      </c>
      <c r="J63" s="58" t="s">
        <v>62</v>
      </c>
      <c r="K63" s="58" t="s">
        <v>75</v>
      </c>
      <c r="L63" s="58" t="s">
        <v>76</v>
      </c>
      <c r="M63" s="58" t="s">
        <v>77</v>
      </c>
      <c r="N63" s="58" t="s">
        <v>78</v>
      </c>
      <c r="O63" s="34" t="s">
        <v>79</v>
      </c>
    </row>
    <row r="64" spans="3:15" x14ac:dyDescent="0.25">
      <c r="C64" s="22" t="s">
        <v>65</v>
      </c>
      <c r="D64" s="6"/>
      <c r="E64" s="6">
        <f>+E57</f>
        <v>0</v>
      </c>
      <c r="F64" s="6">
        <f t="shared" ref="F64:O64" si="3">+F57</f>
        <v>1700</v>
      </c>
      <c r="G64" s="6">
        <f t="shared" si="3"/>
        <v>1751</v>
      </c>
      <c r="H64" s="6">
        <f t="shared" si="3"/>
        <v>1803.53</v>
      </c>
      <c r="I64" s="6">
        <f t="shared" si="3"/>
        <v>1857.6359</v>
      </c>
      <c r="J64" s="6">
        <f t="shared" si="3"/>
        <v>1913.364977</v>
      </c>
      <c r="K64" s="6">
        <f t="shared" si="3"/>
        <v>1970.7659263099999</v>
      </c>
      <c r="L64" s="6">
        <f t="shared" si="3"/>
        <v>2029.8889040992999</v>
      </c>
      <c r="M64" s="6">
        <f t="shared" si="3"/>
        <v>2090.785571222279</v>
      </c>
      <c r="N64" s="6">
        <f t="shared" si="3"/>
        <v>2153.5091383589474</v>
      </c>
      <c r="O64" s="23">
        <f t="shared" si="3"/>
        <v>0</v>
      </c>
    </row>
    <row r="65" spans="3:15" x14ac:dyDescent="0.25">
      <c r="C65" s="22" t="s">
        <v>45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3">
        <f>+H21</f>
        <v>4000</v>
      </c>
    </row>
    <row r="66" spans="3:15" x14ac:dyDescent="0.25">
      <c r="C66" s="22" t="s">
        <v>27</v>
      </c>
      <c r="D66" s="6"/>
      <c r="E66" s="6">
        <f>+E60</f>
        <v>45</v>
      </c>
      <c r="F66" s="6">
        <f t="shared" ref="F66:O66" si="4">+F60</f>
        <v>-360</v>
      </c>
      <c r="G66" s="6">
        <f t="shared" si="4"/>
        <v>-375.3</v>
      </c>
      <c r="H66" s="6">
        <f t="shared" si="4"/>
        <v>-391.05899999999997</v>
      </c>
      <c r="I66" s="6">
        <f t="shared" si="4"/>
        <v>-407.29077000000001</v>
      </c>
      <c r="J66" s="6">
        <f t="shared" si="4"/>
        <v>-424.00949309999999</v>
      </c>
      <c r="K66" s="6">
        <f t="shared" si="4"/>
        <v>-501.22977789299995</v>
      </c>
      <c r="L66" s="6">
        <f t="shared" si="4"/>
        <v>-518.96667122978999</v>
      </c>
      <c r="M66" s="6">
        <f t="shared" si="4"/>
        <v>-537.23567136668373</v>
      </c>
      <c r="N66" s="6">
        <f t="shared" si="4"/>
        <v>-556.05274150768423</v>
      </c>
      <c r="O66" s="23">
        <f t="shared" si="4"/>
        <v>645</v>
      </c>
    </row>
    <row r="67" spans="3:15" x14ac:dyDescent="0.25">
      <c r="C67" s="22" t="s">
        <v>2</v>
      </c>
      <c r="D67" s="6">
        <f>-D17-D18</f>
        <v>-7500</v>
      </c>
      <c r="E67" s="6">
        <f>-E19-E20</f>
        <v>-2500</v>
      </c>
      <c r="F67" s="6"/>
      <c r="G67" s="6"/>
      <c r="H67" s="6"/>
      <c r="I67" s="6"/>
      <c r="J67" s="6"/>
      <c r="K67" s="6"/>
      <c r="L67" s="6"/>
      <c r="M67" s="6"/>
      <c r="N67" s="6"/>
      <c r="O67" s="23"/>
    </row>
    <row r="68" spans="3:15" x14ac:dyDescent="0.25">
      <c r="C68" s="35" t="s">
        <v>60</v>
      </c>
      <c r="D68" s="59">
        <f>SUM(D64:D67)</f>
        <v>-7500</v>
      </c>
      <c r="E68" s="59">
        <f t="shared" ref="E68:O68" si="5">SUM(E64:E67)</f>
        <v>-2455</v>
      </c>
      <c r="F68" s="59">
        <f t="shared" si="5"/>
        <v>1340</v>
      </c>
      <c r="G68" s="59">
        <f t="shared" si="5"/>
        <v>1375.7</v>
      </c>
      <c r="H68" s="59">
        <f t="shared" si="5"/>
        <v>1412.471</v>
      </c>
      <c r="I68" s="59">
        <f t="shared" si="5"/>
        <v>1450.3451299999999</v>
      </c>
      <c r="J68" s="59">
        <f t="shared" si="5"/>
        <v>1489.3554838999999</v>
      </c>
      <c r="K68" s="59">
        <f t="shared" si="5"/>
        <v>1469.536148417</v>
      </c>
      <c r="L68" s="59">
        <f t="shared" si="5"/>
        <v>1510.92223286951</v>
      </c>
      <c r="M68" s="59">
        <f t="shared" si="5"/>
        <v>1553.5498998555954</v>
      </c>
      <c r="N68" s="59">
        <f t="shared" si="5"/>
        <v>1597.4563968512632</v>
      </c>
      <c r="O68" s="36">
        <f t="shared" si="5"/>
        <v>4645</v>
      </c>
    </row>
    <row r="70" spans="3:15" x14ac:dyDescent="0.25">
      <c r="C70" s="39" t="s">
        <v>61</v>
      </c>
      <c r="D70" s="56">
        <f>+D68+NPV(D53,E68:O68)</f>
        <v>702.55186371506534</v>
      </c>
    </row>
  </sheetData>
  <sheetProtection algorithmName="SHA-512" hashValue="q2iaAV/fIuCz+6qixBWGdmuWxlG9nLCqmPf7IFAGTVWQfJqymOEXtM2+enT759wvo7UiFKZwOn/TNJaF+eTgAg==" saltValue="sT4bF2TqLYRcAJ7h3dRBqg==" spinCount="100000" sheet="1" objects="1" scenarios="1"/>
  <mergeCells count="3">
    <mergeCell ref="F15:G15"/>
    <mergeCell ref="C4:H4"/>
    <mergeCell ref="C1:O1"/>
  </mergeCells>
  <hyperlinks>
    <hyperlink ref="C70" r:id="rId1" display="VPN@7.86%" xr:uid="{00000000-0004-0000-0600-000000000000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Inicio</vt:lpstr>
      <vt:lpstr>Ejercicio 1</vt:lpstr>
      <vt:lpstr>Ejercicio 2</vt:lpstr>
      <vt:lpstr>Ejercicio 3</vt:lpstr>
      <vt:lpstr>Ejercicio 4</vt:lpstr>
      <vt:lpstr>Ejercicio 5</vt:lpstr>
      <vt:lpstr>Ejercicio 6</vt:lpstr>
      <vt:lpstr>'Ejercicio 2'!Área_de_impresión</vt:lpstr>
      <vt:lpstr>'Ejercicio 5'!Área_de_impresión</vt:lpstr>
      <vt:lpstr>'Ejercicio 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2020-07-29T16:07:06Z</cp:lastPrinted>
  <dcterms:created xsi:type="dcterms:W3CDTF">2020-07-01T19:09:38Z</dcterms:created>
  <dcterms:modified xsi:type="dcterms:W3CDTF">2021-01-13T15:33:28Z</dcterms:modified>
</cp:coreProperties>
</file>